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xmp" ContentType="application/rdf+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veraXmpId" Type="http://ns.vera.com/classification/1.0/" Target="vera/vera.xmp"/><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C:\Users\ravkota\Documents\"/>
    </mc:Choice>
  </mc:AlternateContent>
  <xr:revisionPtr revIDLastSave="0" documentId="13_ncr:1_{1F35D36E-B8B7-4648-B683-9C632ACBB5FF}" xr6:coauthVersionLast="46" xr6:coauthVersionMax="46" xr10:uidLastSave="{00000000-0000-0000-0000-000000000000}"/>
  <bookViews>
    <workbookView xWindow="-120" yWindow="-120" windowWidth="20730" windowHeight="11160" activeTab="2" xr2:uid="{00000000-000D-0000-FFFF-FFFF00000000}"/>
  </bookViews>
  <sheets>
    <sheet name="Instructions" sheetId="15" r:id="rId1"/>
    <sheet name="Sheet1" sheetId="18" r:id="rId2"/>
    <sheet name="Finesse 12.6" sheetId="17" r:id="rId3"/>
    <sheet name="BW Data" sheetId="5" r:id="rId4"/>
  </sheets>
  <definedNames>
    <definedName name="_xlnm._FilterDatabase" localSheetId="2" hidden="1">'Finesse 12.6'!$A$7:$D$63</definedName>
    <definedName name="Agent_Call_Wrap_Up_Time" localSheetId="2">'Finesse 12.6'!$B$21</definedName>
    <definedName name="Agent_Call_Wrap_Up_Time_v70" localSheetId="2">#REF!</definedName>
    <definedName name="Agent_Call_Wrap_Up_Time_v70">#REF!</definedName>
    <definedName name="Agent_Call_Wrap_Up_Time_v711" localSheetId="2">#REF!</definedName>
    <definedName name="Agent_Call_Wrap_Up_Time_v711">#REF!</definedName>
    <definedName name="Agent_Call_Wrap_Up_Time_v721" localSheetId="2">#REF!</definedName>
    <definedName name="Agent_Call_Wrap_Up_Time_v721">#REF!</definedName>
    <definedName name="Agent_Call_Wrap_Up_Time_v751" localSheetId="2">#REF!</definedName>
    <definedName name="Agent_Call_Wrap_Up_Time_v751">#REF!</definedName>
    <definedName name="Agent_Call_Wrap_Up_Time_v901" localSheetId="2">'Finesse 12.6'!$B$21</definedName>
    <definedName name="Agent_Call_Wrap_Up_Time_v901">#REF!</definedName>
    <definedName name="Agent_Statistics_Update_Interval_v5x" localSheetId="2">#REF!</definedName>
    <definedName name="Agent_Statistics_Update_Interval_v5x">#REF!</definedName>
    <definedName name="Agent_Statistics_Update_Interval_v60" localSheetId="2">#REF!</definedName>
    <definedName name="Agent_Statistics_Update_Interval_v60">#REF!</definedName>
    <definedName name="Agent_Statistics_Update_Interval_v70" localSheetId="2">#REF!</definedName>
    <definedName name="Agent_Statistics_Update_Interval_v70">#REF!</definedName>
    <definedName name="Agent_Statistics_Update_Interval_v711" localSheetId="2">#REF!</definedName>
    <definedName name="Agent_Statistics_Update_Interval_v711">#REF!</definedName>
    <definedName name="Agent_Statistics_Update_Interval_v721" localSheetId="2">#REF!</definedName>
    <definedName name="Agent_Statistics_Update_Interval_v721">#REF!</definedName>
    <definedName name="Agent_Statistics_Update_Interval_v751" localSheetId="2">#REF!</definedName>
    <definedName name="Agent_Statistics_Update_Interval_v751">#REF!</definedName>
    <definedName name="Agent_Statistics_Update_Interval_v801" localSheetId="2">'Finesse 12.6'!$B$54</definedName>
    <definedName name="Agent_Statistics_Update_Interval_v801">#REF!</definedName>
    <definedName name="Agent_Task_Wrap_Up_Time">'Finesse 12.6'!$B$26</definedName>
    <definedName name="Average_Call_Duration" localSheetId="2">'Finesse 12.6'!$B$22</definedName>
    <definedName name="Average_Call_Duration_v5x" localSheetId="2">#REF!</definedName>
    <definedName name="Average_Call_Duration_v5x">#REF!</definedName>
    <definedName name="Average_Call_Duration_v60" localSheetId="2">#REF!</definedName>
    <definedName name="Average_Call_Duration_v60">#REF!</definedName>
    <definedName name="Average_Call_Duration_v70" localSheetId="2">#REF!</definedName>
    <definedName name="Average_Call_Duration_v70">#REF!</definedName>
    <definedName name="Average_Call_Duration_v711" localSheetId="2">#REF!</definedName>
    <definedName name="Average_Call_Duration_v711">#REF!</definedName>
    <definedName name="Average_Call_Duration_v721" localSheetId="2">#REF!</definedName>
    <definedName name="Average_Call_Duration_v721">#REF!</definedName>
    <definedName name="Average_Call_Duration_v751" localSheetId="2">#REF!</definedName>
    <definedName name="Average_Call_Duration_v751">#REF!</definedName>
    <definedName name="Average_Call_Duration_v901" localSheetId="2">'Finesse 12.6'!$B$22</definedName>
    <definedName name="Average_Call_Duration_v901">#REF!</definedName>
    <definedName name="Average_number_of_Agent_Skill_Groups_Monitored_by_a_Supervisor_v5x" localSheetId="2">#REF!</definedName>
    <definedName name="Average_number_of_Agent_Skill_Groups_Monitored_by_a_Supervisor_v5x">#REF!</definedName>
    <definedName name="Average_number_of_Agent_Skill_Groups_Monitored_by_a_Supervisor_v60" localSheetId="2">#REF!</definedName>
    <definedName name="Average_number_of_Agent_Skill_Groups_Monitored_by_a_Supervisor_v60">#REF!</definedName>
    <definedName name="Average_number_of_Agent_Skill_Groups_Monitored_by_a_Supervisor_v70" localSheetId="2">#REF!</definedName>
    <definedName name="Average_number_of_Agent_Skill_Groups_Monitored_by_a_Supervisor_v70">#REF!</definedName>
    <definedName name="Average_number_of_Agent_Skill_Groups_Monitored_by_a_Supervisor_v711" localSheetId="2">#REF!</definedName>
    <definedName name="Average_number_of_Agent_Skill_Groups_Monitored_by_a_Supervisor_v711">#REF!</definedName>
    <definedName name="Average_number_of_Agent_Skill_Groups_Monitored_by_a_Supervisor_v721" localSheetId="2">#REF!</definedName>
    <definedName name="Average_number_of_Agent_Skill_Groups_Monitored_by_a_Supervisor_v721">#REF!</definedName>
    <definedName name="Average_number_of_Agent_Skill_Groups_Monitored_by_a_Supervisor_v751" localSheetId="2">#REF!</definedName>
    <definedName name="Average_number_of_Agent_Skill_Groups_Monitored_by_a_Supervisor_v751">#REF!</definedName>
    <definedName name="Average_number_of_Agent_Skill_Groups_Monitored_by_a_Supervisor_v901" localSheetId="2">'Finesse 12.6'!#REF!</definedName>
    <definedName name="Average_number_of_Agent_Skill_Groups_Monitored_by_a_Supervisor_v901">#REF!</definedName>
    <definedName name="Average_number_of_agents_per_Team" localSheetId="2">'Finesse 12.6'!$B$64</definedName>
    <definedName name="Average_number_of_agents_per_team_v901" localSheetId="2">'Finesse 12.6'!$B$64</definedName>
    <definedName name="Average_number_of_agents_per_team_v901">#REF!</definedName>
    <definedName name="Average_number_of_Skill_Groups_per_Agent_v5x" localSheetId="2">#REF!</definedName>
    <definedName name="Average_number_of_Skill_Groups_per_Agent_v5x">#REF!</definedName>
    <definedName name="Average_number_of_Skill_Groups_per_Agent_v60" localSheetId="2">#REF!</definedName>
    <definedName name="Average_number_of_Skill_Groups_per_Agent_v60">#REF!</definedName>
    <definedName name="Average_number_of_Skill_Groups_per_Agent_v70" localSheetId="2">#REF!</definedName>
    <definedName name="Average_number_of_Skill_Groups_per_Agent_v70">#REF!</definedName>
    <definedName name="Average_number_of_Skill_Groups_per_Agent_v711" localSheetId="2">#REF!</definedName>
    <definedName name="Average_number_of_Skill_Groups_per_Agent_v711">#REF!</definedName>
    <definedName name="Average_number_of_Skill_Groups_per_Agent_v721" localSheetId="2">#REF!</definedName>
    <definedName name="Average_number_of_Skill_Groups_per_Agent_v721">#REF!</definedName>
    <definedName name="Average_number_of_Skill_Groups_per_Agent_v751" localSheetId="2">#REF!</definedName>
    <definedName name="Average_number_of_Skill_Groups_per_Agent_v751">#REF!</definedName>
    <definedName name="Average_number_of_Skill_Groups_per_Agent_v901" localSheetId="2">'Finesse 12.6'!$B$47</definedName>
    <definedName name="Average_number_of_Skill_Groups_per_Agent_v901">#REF!</definedName>
    <definedName name="Average_number_of_Skill_Groups_per_Supervisor" localSheetId="2">'Finesse 12.6'!$B$48</definedName>
    <definedName name="Average_Task_Duration">'Finesse 12.6'!$B$27</definedName>
    <definedName name="Avg_Agent_State_Changes_Per_Call_NoWrap">'BW Data'!$B$65</definedName>
    <definedName name="Avg_Agent_State_Changes_Per_Call_NoWrap_v91">'BW Data'!$D$65</definedName>
    <definedName name="Avg_Agent_State_Changes_Per_Call_Wrap">'BW Data'!$B$66</definedName>
    <definedName name="Avg_Agent_State_Changes_Per_Call_Wrap_v91">'BW Data'!$D$66</definedName>
    <definedName name="Avg_Agent_State_Changes_Per_Task_NoWrap">'BW Data'!$E$67</definedName>
    <definedName name="Avg_agent_state_Changes_Per_Task_Wrap">'BW Data'!$E$68</definedName>
    <definedName name="Avg_Number_Dialog_Events_Per_ConfCall">'BW Data'!$B$71</definedName>
    <definedName name="Avg_Number_Dialog_Events_Per_IncomingCall">'BW Data'!$B$70</definedName>
    <definedName name="Avg_Number_Dialog_Events_Per_OutCall">'BW Data'!$B$72</definedName>
    <definedName name="Avg_Number_Dialog_Events_Per_XferCall">'BW Data'!$B$73</definedName>
    <definedName name="Bandwidth_Confidence_Factor">'BW Data'!$E$63</definedName>
    <definedName name="Bandwidth_Confidence_Factor_CCAI">'BW Data'!$H$63</definedName>
    <definedName name="Bandwidth_Confidence_Factor_v5x" localSheetId="2">'BW Data'!#REF!</definedName>
    <definedName name="Bandwidth_Confidence_Factor_v5x">'BW Data'!#REF!</definedName>
    <definedName name="Bandwidth_Confidence_Factor_v60" localSheetId="2">'BW Data'!#REF!</definedName>
    <definedName name="Bandwidth_Confidence_Factor_v60">'BW Data'!#REF!</definedName>
    <definedName name="Bandwidth_Confidence_Factor_v70_Security_On" localSheetId="2">'BW Data'!#REF!</definedName>
    <definedName name="Bandwidth_Confidence_Factor_v70_Security_On">'BW Data'!#REF!</definedName>
    <definedName name="Bandwidth_Confidence_Factor_v711_Security_Off" localSheetId="2">'BW Data'!#REF!</definedName>
    <definedName name="Bandwidth_Confidence_Factor_v711_Security_Off">'BW Data'!#REF!</definedName>
    <definedName name="Bandwidth_Confidence_Factor_v711_Security_On" localSheetId="2">'BW Data'!#REF!</definedName>
    <definedName name="Bandwidth_Confidence_Factor_v711_Security_On">'BW Data'!#REF!</definedName>
    <definedName name="Bandwidth_Confidence_Factor_v721_Security_Off" localSheetId="2">'BW Data'!#REF!</definedName>
    <definedName name="Bandwidth_Confidence_Factor_v721_Security_Off">'BW Data'!#REF!</definedName>
    <definedName name="Bandwidth_Confidence_Factor_v721_Security_On" localSheetId="2">'BW Data'!#REF!</definedName>
    <definedName name="Bandwidth_Confidence_Factor_v721_Security_On">'BW Data'!#REF!</definedName>
    <definedName name="Bandwidth_Confidence_Factor_v751_Security_Off" localSheetId="2">'BW Data'!#REF!</definedName>
    <definedName name="Bandwidth_Confidence_Factor_v751_Security_Off">'BW Data'!#REF!</definedName>
    <definedName name="Bandwidth_Confidence_Factor_v751_Security_On" localSheetId="2">'BW Data'!#REF!</definedName>
    <definedName name="Bandwidth_Confidence_Factor_v751_Security_On">'BW Data'!#REF!</definedName>
    <definedName name="Bandwidth_Confidence_Factor_v9">'BW Data'!$B$63</definedName>
    <definedName name="Bandwidth_Confidence_Factor_v91">'BW Data'!$D$63</definedName>
    <definedName name="BHCA" localSheetId="2">'Finesse 12.6'!$B$20</definedName>
    <definedName name="BHCA_v5x" localSheetId="2">#REF!</definedName>
    <definedName name="BHCA_v5x">#REF!</definedName>
    <definedName name="BHCA_v60" localSheetId="2">#REF!</definedName>
    <definedName name="BHCA_v60">#REF!</definedName>
    <definedName name="BHCA_v70" localSheetId="2">#REF!</definedName>
    <definedName name="BHCA_v70">#REF!</definedName>
    <definedName name="BHCA_v711" localSheetId="2">#REF!</definedName>
    <definedName name="BHCA_v711">#REF!</definedName>
    <definedName name="BHCA_v721" localSheetId="2">#REF!</definedName>
    <definedName name="BHCA_v721">#REF!</definedName>
    <definedName name="BHCA_v751" localSheetId="2">#REF!</definedName>
    <definedName name="BHCA_v751">#REF!</definedName>
    <definedName name="BHCA_v901" localSheetId="2">'Finesse 12.6'!$B$20</definedName>
    <definedName name="BHCA_v901">#REF!</definedName>
    <definedName name="BHTA">'Finesse 12.6'!$B$25</definedName>
    <definedName name="Bytes_Per_Call_Variable_Value">'BW Data'!$D$75</definedName>
    <definedName name="Calls_Per_Second" localSheetId="2">'Finesse 12.6'!$B$23</definedName>
    <definedName name="Calls_Per_Second_v5x" localSheetId="2">#REF!</definedName>
    <definedName name="Calls_Per_Second_v5x">#REF!</definedName>
    <definedName name="Calls_Per_Second_v60" localSheetId="2">#REF!</definedName>
    <definedName name="Calls_Per_Second_v60">#REF!</definedName>
    <definedName name="Calls_Per_Second_v70" localSheetId="2">#REF!</definedName>
    <definedName name="Calls_Per_Second_v70">#REF!</definedName>
    <definedName name="Calls_Per_Second_v711" localSheetId="2">#REF!</definedName>
    <definedName name="Calls_Per_Second_v711">#REF!</definedName>
    <definedName name="Calls_Per_Second_v721" localSheetId="2">#REF!</definedName>
    <definedName name="Calls_Per_Second_v721">#REF!</definedName>
    <definedName name="Calls_Per_Second_v751" localSheetId="2">#REF!</definedName>
    <definedName name="Calls_Per_Second_v751">#REF!</definedName>
    <definedName name="Calls_Per_Second_v901" localSheetId="2">'Finesse 12.6'!$B$23</definedName>
    <definedName name="Calls_Per_Second_v901">#REF!</definedName>
    <definedName name="ccai_services_configured">'Finesse 12.6'!$B$56</definedName>
    <definedName name="kbps">8/1000</definedName>
    <definedName name="Max_Login_Time_All_Agents" localSheetId="2">'Finesse 12.6'!$B$18</definedName>
    <definedName name="Max_Login_Time_All_Agents">#REF!</definedName>
    <definedName name="Max_Login_Time_All_Users" localSheetId="2">'Finesse 12.6'!$B$18</definedName>
    <definedName name="Max_Login_Time_All_Users">#REF!</definedName>
    <definedName name="Maximum_Login_Time_for_all_users" localSheetId="2">'Finesse 12.6'!$B$18</definedName>
    <definedName name="Number_of_Agent_Statistics_v5x" localSheetId="2">#REF!</definedName>
    <definedName name="Number_of_Agent_Statistics_v5x">#REF!</definedName>
    <definedName name="Number_of_Agent_Statistics_v60" localSheetId="2">#REF!</definedName>
    <definedName name="Number_of_Agent_Statistics_v60">#REF!</definedName>
    <definedName name="Number_of_Agent_Statistics_v70" localSheetId="2">#REF!</definedName>
    <definedName name="Number_of_Agent_Statistics_v70">#REF!</definedName>
    <definedName name="Number_of_Agent_Statistics_v711" localSheetId="2">#REF!</definedName>
    <definedName name="Number_of_Agent_Statistics_v711">#REF!</definedName>
    <definedName name="Number_of_Agent_Statistics_v721" localSheetId="2">#REF!</definedName>
    <definedName name="Number_of_Agent_Statistics_v721">#REF!</definedName>
    <definedName name="Number_of_Agent_Statistics_v751" localSheetId="2">#REF!</definedName>
    <definedName name="Number_of_Agent_Statistics_v751">#REF!</definedName>
    <definedName name="Number_of_Agent_Statistics_v801" localSheetId="2">'Finesse 12.6'!$B$53</definedName>
    <definedName name="Number_of_Agent_Statistics_v801">#REF!</definedName>
    <definedName name="Number_of_Agents" localSheetId="2">'Finesse 12.6'!$B$9</definedName>
    <definedName name="Number_of_Agents_Answers_Enabled">'Finesse 12.6'!$B$68</definedName>
    <definedName name="Number_of_Agents_Transcript_Enabled">'Finesse 12.6'!$B$69</definedName>
    <definedName name="Number_of_Agents_Transcripts_Enabled">'Finesse 12.6'!$B$69</definedName>
    <definedName name="Number_of_All_Agents_Monitors_v5x" localSheetId="2">#REF!</definedName>
    <definedName name="Number_of_All_Agents_Monitors_v5x">#REF!</definedName>
    <definedName name="Number_of_All_Agents_Monitors_v60" localSheetId="2">#REF!</definedName>
    <definedName name="Number_of_All_Agents_Monitors_v60">#REF!</definedName>
    <definedName name="Number_of_All_Agents_Monitors_v70" localSheetId="2">#REF!</definedName>
    <definedName name="Number_of_All_Agents_Monitors_v70">#REF!</definedName>
    <definedName name="Number_of_All_Agents_Monitors_v711" localSheetId="2">#REF!</definedName>
    <definedName name="Number_of_All_Agents_Monitors_v711">#REF!</definedName>
    <definedName name="Number_of_All_Agents_Monitors_v721" localSheetId="2">#REF!</definedName>
    <definedName name="Number_of_All_Agents_Monitors_v721">#REF!</definedName>
    <definedName name="Number_of_All_Agents_Monitors_v751" localSheetId="2">#REF!</definedName>
    <definedName name="Number_of_All_Agents_Monitors_v751">#REF!</definedName>
    <definedName name="Number_of_All_Agents_Monitors_v801" localSheetId="2">'Finesse 12.6'!$B$11</definedName>
    <definedName name="Number_of_All_Agents_Monitors_v801">#REF!</definedName>
    <definedName name="Number_of_Call_Variables">'BW Data'!$B$74</definedName>
    <definedName name="Number_of_Call_Variables_v5x" localSheetId="2">#REF!</definedName>
    <definedName name="Number_of_Call_Variables_v5x">#REF!</definedName>
    <definedName name="Number_of_Call_Variables_v60" localSheetId="2">#REF!</definedName>
    <definedName name="Number_of_Call_Variables_v60">#REF!</definedName>
    <definedName name="Number_of_Call_Variables_v70" localSheetId="2">#REF!</definedName>
    <definedName name="Number_of_Call_Variables_v70">#REF!</definedName>
    <definedName name="Number_of_Call_Variables_v711" localSheetId="2">#REF!</definedName>
    <definedName name="Number_of_Call_Variables_v711">#REF!</definedName>
    <definedName name="Number_of_Call_Variables_v721" localSheetId="2">#REF!</definedName>
    <definedName name="Number_of_Call_Variables_v721">#REF!</definedName>
    <definedName name="Number_of_Call_Variables_v751" localSheetId="2">#REF!</definedName>
    <definedName name="Number_of_Call_Variables_v751">#REF!</definedName>
    <definedName name="Number_of_Call_Variables_v901" localSheetId="2">'Finesse 12.6'!#REF!</definedName>
    <definedName name="Number_of_Call_Variables_v901">#REF!</definedName>
    <definedName name="Number_of_Call_Variables_v91">'BW Data'!$D$74</definedName>
    <definedName name="Number_of_CCAI_services_configured">'Finesse 12.6'!#REF!</definedName>
    <definedName name="Number_of_Configured_Call_variables">'Finesse 12.6'!$B$62</definedName>
    <definedName name="Number_of_Configured_ECC_variables" localSheetId="2">'Finesse 12.6'!$B$58</definedName>
    <definedName name="Number_of_Configured_ECC_variables_v5x" localSheetId="2">#REF!</definedName>
    <definedName name="Number_of_Configured_ECC_variables_v5x">#REF!</definedName>
    <definedName name="Number_of_Configured_ECC_variables_v60" localSheetId="2">#REF!</definedName>
    <definedName name="Number_of_Configured_ECC_variables_v60">#REF!</definedName>
    <definedName name="Number_of_Configured_ECC_variables_v70" localSheetId="2">#REF!</definedName>
    <definedName name="Number_of_Configured_ECC_variables_v70">#REF!</definedName>
    <definedName name="Number_of_Configured_ECC_variables_v711" localSheetId="2">#REF!</definedName>
    <definedName name="Number_of_Configured_ECC_variables_v711">#REF!</definedName>
    <definedName name="Number_of_Configured_ECC_variables_v721" localSheetId="2">#REF!</definedName>
    <definedName name="Number_of_Configured_ECC_variables_v721">#REF!</definedName>
    <definedName name="Number_of_Configured_ECC_variables_v751" localSheetId="2">#REF!</definedName>
    <definedName name="Number_of_Configured_ECC_variables_v751">#REF!</definedName>
    <definedName name="Number_of_Configured_ECC_variables_v901" localSheetId="2">'Finesse 12.6'!$B$58</definedName>
    <definedName name="Number_of_Configured_ECC_variables_v901">#REF!</definedName>
    <definedName name="Number_of_mc_agents">'Finesse 12.6'!$B$16</definedName>
    <definedName name="Number_of_Multi_Channel_Agents">'Finesse 12.6'!$B$16</definedName>
    <definedName name="Number_of_Non_Voice_MRDs">'Finesse 12.6'!$B$17</definedName>
    <definedName name="Number_of_nonSSO_agents">'Finesse 12.6'!$B$13</definedName>
    <definedName name="Number_of_nonsso_mc_agents">'Finesse 12.6'!#REF!</definedName>
    <definedName name="Number_of_nonSSO_Multi_Channel_Agents">'Finesse 12.6'!#REF!</definedName>
    <definedName name="Number_of_nonSSO_supervisors">'Finesse 12.6'!$B$15</definedName>
    <definedName name="Number_of_nonvoice_mrds">'Finesse 12.6'!$B$17</definedName>
    <definedName name="Number_of_Skill_Group_Statistics_v5x" localSheetId="2">#REF!</definedName>
    <definedName name="Number_of_Skill_Group_Statistics_v5x">#REF!</definedName>
    <definedName name="Number_of_Skill_Group_Statistics_v60" localSheetId="2">#REF!</definedName>
    <definedName name="Number_of_Skill_Group_Statistics_v60">#REF!</definedName>
    <definedName name="Number_of_Skill_Group_Statistics_v70" localSheetId="2">#REF!</definedName>
    <definedName name="Number_of_Skill_Group_Statistics_v70">#REF!</definedName>
    <definedName name="Number_of_Skill_Group_Statistics_v711" localSheetId="2">#REF!</definedName>
    <definedName name="Number_of_Skill_Group_Statistics_v711">#REF!</definedName>
    <definedName name="Number_of_Skill_Group_Statistics_v721" localSheetId="2">#REF!</definedName>
    <definedName name="Number_of_Skill_Group_Statistics_v721">#REF!</definedName>
    <definedName name="Number_of_Skill_Group_Statistics_v751" localSheetId="2">#REF!</definedName>
    <definedName name="Number_of_Skill_Group_Statistics_v751">#REF!</definedName>
    <definedName name="Number_of_Skill_Group_Statistics_v801" localSheetId="2">'Finesse 12.6'!$B$50</definedName>
    <definedName name="Number_of_Skill_Group_Statistics_v801">#REF!</definedName>
    <definedName name="Number_of_Skill_Groups_per_Agent_v5x" localSheetId="2">#REF!</definedName>
    <definedName name="Number_of_Skill_Groups_per_Agent_v5x">#REF!</definedName>
    <definedName name="Number_of_Skill_Groups_per_Agent_v60" localSheetId="2">#REF!</definedName>
    <definedName name="Number_of_Skill_Groups_per_Agent_v60">#REF!</definedName>
    <definedName name="Number_of_Skill_Groups_per_Agent_v70" localSheetId="2">#REF!</definedName>
    <definedName name="Number_of_Skill_Groups_per_Agent_v70">#REF!</definedName>
    <definedName name="Number_of_Skill_Groups_per_Agent_v711" localSheetId="2">#REF!</definedName>
    <definedName name="Number_of_Skill_Groups_per_Agent_v711">#REF!</definedName>
    <definedName name="Number_of_Skill_Groups_per_Agent_v721" localSheetId="2">#REF!</definedName>
    <definedName name="Number_of_Skill_Groups_per_Agent_v721">#REF!</definedName>
    <definedName name="Number_of_Skill_Groups_per_Agent_v751" localSheetId="2">#REF!</definedName>
    <definedName name="Number_of_Skill_Groups_per_Agent_v751">#REF!</definedName>
    <definedName name="Number_of_Skill_Groups_per_Agent_v801" localSheetId="2">'Finesse 12.6'!$B$47</definedName>
    <definedName name="Number_of_Skill_Groups_per_Agent_v801">#REF!</definedName>
    <definedName name="Number_of_Skill_Groups_per_Supervisor_v5x" localSheetId="2">#REF!</definedName>
    <definedName name="Number_of_Skill_Groups_per_Supervisor_v5x">#REF!</definedName>
    <definedName name="Number_of_Skill_Groups_per_Supervisor_v60" localSheetId="2">#REF!</definedName>
    <definedName name="Number_of_Skill_Groups_per_Supervisor_v60">#REF!</definedName>
    <definedName name="Number_of_Skill_Groups_per_Supervisor_v70" localSheetId="2">#REF!</definedName>
    <definedName name="Number_of_Skill_Groups_per_Supervisor_v70">#REF!</definedName>
    <definedName name="Number_of_Skill_Groups_per_Supervisor_v711" localSheetId="2">#REF!</definedName>
    <definedName name="Number_of_Skill_Groups_per_Supervisor_v711">#REF!</definedName>
    <definedName name="Number_of_Skill_Groups_per_Supervisor_v721" localSheetId="2">#REF!</definedName>
    <definedName name="Number_of_Skill_Groups_per_Supervisor_v721">#REF!</definedName>
    <definedName name="Number_of_Skill_Groups_per_Supervisor_v751" localSheetId="2">#REF!</definedName>
    <definedName name="Number_of_Skill_Groups_per_Supervisor_v751">#REF!</definedName>
    <definedName name="Number_of_Skill_Groups_per_Supervisor_v901" localSheetId="2">'Finesse 12.6'!$B$48</definedName>
    <definedName name="Number_of_Skill_Groups_per_Supervisor_v901">#REF!</definedName>
    <definedName name="Number_of_Skill_Groups_PG">'Finesse 12.6'!$B$55</definedName>
    <definedName name="Number_of_SSO_agents">'Finesse 12.6'!$B$12</definedName>
    <definedName name="Number_of_sso_mc_agents">'Finesse 12.6'!#REF!</definedName>
    <definedName name="Number_of_SSO_Multi_Channel_Agents">'Finesse 12.6'!#REF!</definedName>
    <definedName name="Number_of_SSO_supervisors">'Finesse 12.6'!$B$14</definedName>
    <definedName name="Number_of_Supervisors" localSheetId="2">'Finesse 12.6'!$B$10</definedName>
    <definedName name="Number_of_Supervisors_v10">'Finesse 12.6'!$B$10</definedName>
    <definedName name="Number_of_Supervisors_v5x" localSheetId="2">#REF!</definedName>
    <definedName name="Number_of_Supervisors_v5x">#REF!</definedName>
    <definedName name="Number_of_Supervisors_v60" localSheetId="2">#REF!</definedName>
    <definedName name="Number_of_Supervisors_v60">#REF!</definedName>
    <definedName name="Number_of_Supervisors_v70" localSheetId="2">#REF!</definedName>
    <definedName name="Number_of_Supervisors_v70">#REF!</definedName>
    <definedName name="Number_of_Supervisors_v711" localSheetId="2">#REF!</definedName>
    <definedName name="Number_of_Supervisors_v711">#REF!</definedName>
    <definedName name="Number_of_Supervisors_v721" localSheetId="2">#REF!</definedName>
    <definedName name="Number_of_Supervisors_v721">#REF!</definedName>
    <definedName name="Number_of_Supervisors_v751" localSheetId="2">#REF!</definedName>
    <definedName name="Number_of_Supervisors_v751">#REF!</definedName>
    <definedName name="Number_of_Supervisors_v901" localSheetId="2">'Finesse 12.6'!$B$10</definedName>
    <definedName name="Number_of_Supervisors_v901">#REF!</definedName>
    <definedName name="Number_of_teams_for_supervisor">'Finesse 12.6'!$B$65</definedName>
    <definedName name="Percentage_Calls_CCAI_Enabled">'Finesse 12.6'!$B$70</definedName>
    <definedName name="Percentage_Calls_Silently_Monitored" localSheetId="2">'Finesse 12.6'!$B$37</definedName>
    <definedName name="Percentage_Calls_Silently_Monitored">#REF!</definedName>
    <definedName name="Percentage_of_BargedCalls">'Finesse 12.6'!$B$38</definedName>
    <definedName name="Percentage_of_Calls_that_are_silently_monitored" localSheetId="2">'Finesse 12.6'!$B$37</definedName>
    <definedName name="Percentage_of_Consultative_Conference_Calls" localSheetId="2">'Finesse 12.6'!$B$35</definedName>
    <definedName name="Percentage_of_Consultative_Conference_Calls_v5x" localSheetId="2">#REF!</definedName>
    <definedName name="Percentage_of_Consultative_Conference_Calls_v5x">#REF!</definedName>
    <definedName name="Percentage_of_Consultative_Conference_Calls_v60" localSheetId="2">#REF!</definedName>
    <definedName name="Percentage_of_Consultative_Conference_Calls_v60">#REF!</definedName>
    <definedName name="Percentage_of_Consultative_Conference_Calls_v70" localSheetId="2">#REF!</definedName>
    <definedName name="Percentage_of_Consultative_Conference_Calls_v70">#REF!</definedName>
    <definedName name="Percentage_of_Consultative_Conference_Calls_v711" localSheetId="2">#REF!</definedName>
    <definedName name="Percentage_of_Consultative_Conference_Calls_v711">#REF!</definedName>
    <definedName name="Percentage_of_Consultative_Conference_Calls_v721" localSheetId="2">#REF!</definedName>
    <definedName name="Percentage_of_Consultative_Conference_Calls_v721">#REF!</definedName>
    <definedName name="Percentage_of_Consultative_Conference_Calls_v751" localSheetId="2">#REF!</definedName>
    <definedName name="Percentage_of_Consultative_Conference_Calls_v751">#REF!</definedName>
    <definedName name="Percentage_of_Consultative_Conference_Calls_v901" localSheetId="2">'Finesse 12.6'!$B$35</definedName>
    <definedName name="Percentage_of_Consultative_Conference_Calls_v901">#REF!</definedName>
    <definedName name="Percentage_of_Consultative_Transfer_Calls" localSheetId="2">'Finesse 12.6'!$B$33</definedName>
    <definedName name="Percentage_of_Consultative_Transfer_Calls_v5x" localSheetId="2">#REF!</definedName>
    <definedName name="Percentage_of_Consultative_Transfer_Calls_v5x">#REF!</definedName>
    <definedName name="Percentage_of_Consultative_Transfer_Calls_v60" localSheetId="2">#REF!</definedName>
    <definedName name="Percentage_of_Consultative_Transfer_Calls_v60">#REF!</definedName>
    <definedName name="Percentage_of_Consultative_Transfer_Calls_v70" localSheetId="2">#REF!</definedName>
    <definedName name="Percentage_of_Consultative_Transfer_Calls_v70">#REF!</definedName>
    <definedName name="Percentage_of_Consultative_Transfer_Calls_v711" localSheetId="2">#REF!</definedName>
    <definedName name="Percentage_of_Consultative_Transfer_Calls_v711">#REF!</definedName>
    <definedName name="Percentage_of_Consultative_Transfer_Calls_v721" localSheetId="2">#REF!</definedName>
    <definedName name="Percentage_of_Consultative_Transfer_Calls_v721">#REF!</definedName>
    <definedName name="Percentage_of_Consultative_Transfer_Calls_v751" localSheetId="2">#REF!</definedName>
    <definedName name="Percentage_of_Consultative_Transfer_Calls_v751">#REF!</definedName>
    <definedName name="Percentage_of_Consultative_Transfer_Calls_v901" localSheetId="2">'Finesse 12.6'!$B$33</definedName>
    <definedName name="Percentage_of_Consultative_Transfer_Calls_v901">#REF!</definedName>
    <definedName name="Percentage_of_Incoming_Straight_Calls" localSheetId="2">'Finesse 12.6'!$B$30</definedName>
    <definedName name="Percentage_of_Incoming_Straight_Calls_v5x" localSheetId="2">#REF!</definedName>
    <definedName name="Percentage_of_Incoming_Straight_Calls_v5x">#REF!</definedName>
    <definedName name="Percentage_of_Incoming_Straight_Calls_v60" localSheetId="2">#REF!</definedName>
    <definedName name="Percentage_of_Incoming_Straight_Calls_v60">#REF!</definedName>
    <definedName name="Percentage_of_Incoming_Straight_Calls_v70" localSheetId="2">#REF!</definedName>
    <definedName name="Percentage_of_Incoming_Straight_Calls_v70">#REF!</definedName>
    <definedName name="Percentage_of_Incoming_Straight_Calls_v711" localSheetId="2">#REF!</definedName>
    <definedName name="Percentage_of_Incoming_Straight_Calls_v711">#REF!</definedName>
    <definedName name="Percentage_of_Incoming_Straight_Calls_v721" localSheetId="2">#REF!</definedName>
    <definedName name="Percentage_of_Incoming_Straight_Calls_v721">#REF!</definedName>
    <definedName name="Percentage_of_Incoming_Straight_Calls_v751" localSheetId="2">#REF!</definedName>
    <definedName name="Percentage_of_Incoming_Straight_Calls_v751">#REF!</definedName>
    <definedName name="Percentage_of_Incoming_Straight_Calls_v901" localSheetId="2">'Finesse 12.6'!$B$30</definedName>
    <definedName name="Percentage_of_Incoming_Straight_Calls_v901">#REF!</definedName>
    <definedName name="Percentage_of_Incoming_Straight_Tasks">'Finesse 12.6'!$B$41</definedName>
    <definedName name="Percentage_of_InterceptedCalls">'Finesse 12.6'!$B$39</definedName>
    <definedName name="Percentage_of_Interrupted_Tasks">'Finesse 12.6'!$B$43</definedName>
    <definedName name="Percentage_of_Outgoing_Straight_Calls" localSheetId="2">'Finesse 12.6'!$B$31</definedName>
    <definedName name="Percentage_of_Outgoing_Straight_Calls_v5x" localSheetId="2">#REF!</definedName>
    <definedName name="Percentage_of_Outgoing_Straight_Calls_v5x">#REF!</definedName>
    <definedName name="Percentage_of_Outgoing_Straight_Calls_v60" localSheetId="2">#REF!</definedName>
    <definedName name="Percentage_of_Outgoing_Straight_Calls_v60">#REF!</definedName>
    <definedName name="Percentage_of_Outgoing_Straight_Calls_v70" localSheetId="2">#REF!</definedName>
    <definedName name="Percentage_of_Outgoing_Straight_Calls_v70">#REF!</definedName>
    <definedName name="Percentage_of_Outgoing_Straight_Calls_v711" localSheetId="2">#REF!</definedName>
    <definedName name="Percentage_of_Outgoing_Straight_Calls_v711">#REF!</definedName>
    <definedName name="Percentage_of_Outgoing_Straight_Calls_v721" localSheetId="2">#REF!</definedName>
    <definedName name="Percentage_of_Outgoing_Straight_Calls_v721">#REF!</definedName>
    <definedName name="Percentage_of_Outgoing_Straight_Calls_v751" localSheetId="2">#REF!</definedName>
    <definedName name="Percentage_of_Outgoing_Straight_Calls_v751">#REF!</definedName>
    <definedName name="Percentage_of_Outgoing_Straight_Calls_v901" localSheetId="2">'Finesse 12.6'!$B$31</definedName>
    <definedName name="Percentage_of_Outgoing_Straight_Calls_v901">#REF!</definedName>
    <definedName name="Percentage_of_Paused_and_Resumed_Tasks">'Finesse 12.6'!$B$44</definedName>
    <definedName name="Percentage_of_Single_Step_Transfer_Calls_v5x" localSheetId="2">#REF!</definedName>
    <definedName name="Percentage_of_Single_Step_Transfer_Calls_v5x">#REF!</definedName>
    <definedName name="Percentage_of_Single_Step_Transfer_Calls_v60" localSheetId="2">#REF!</definedName>
    <definedName name="Percentage_of_Single_Step_Transfer_Calls_v60">#REF!</definedName>
    <definedName name="Percentage_of_Single_Step_Transfer_Calls_v70" localSheetId="2">#REF!</definedName>
    <definedName name="Percentage_of_Single_Step_Transfer_Calls_v70">#REF!</definedName>
    <definedName name="Percentage_of_Single_Step_Transfer_Calls_v711" localSheetId="2">#REF!</definedName>
    <definedName name="Percentage_of_Single_Step_Transfer_Calls_v711">#REF!</definedName>
    <definedName name="Percentage_of_Single_Step_Transfer_Calls_v721" localSheetId="2">#REF!</definedName>
    <definedName name="Percentage_of_Single_Step_Transfer_Calls_v721">#REF!</definedName>
    <definedName name="Percentage_of_Single_Step_Transfer_Calls_v751" localSheetId="2">#REF!</definedName>
    <definedName name="Percentage_of_Single_Step_Transfer_Calls_v751">#REF!</definedName>
    <definedName name="Percentage_of_Single_Step_Transfer_Calls_v801" localSheetId="2">'Finesse 12.6'!$B$32</definedName>
    <definedName name="Percentage_of_Single_Step_Transfer_Calls_v801">#REF!</definedName>
    <definedName name="Percentage_of_SingleStep_Transfer_Calls">'Finesse 12.6'!$B$34</definedName>
    <definedName name="Percentage_of_Transferred_Tasks">'Finesse 12.6'!$B$42</definedName>
    <definedName name="Skill_Group_Refresh_Rate">'BW Data'!$B$69</definedName>
    <definedName name="Skill_Group_Refresh_Rate_v91">'BW Data'!$D$69</definedName>
    <definedName name="Skill_Group_Update_Interval_v5x" localSheetId="2">#REF!</definedName>
    <definedName name="Skill_Group_Update_Interval_v5x">#REF!</definedName>
    <definedName name="Skill_Group_Update_Interval_v60" localSheetId="2">#REF!</definedName>
    <definedName name="Skill_Group_Update_Interval_v60">#REF!</definedName>
    <definedName name="Skill_Group_Update_Interval_v70" localSheetId="2">#REF!</definedName>
    <definedName name="Skill_Group_Update_Interval_v70">#REF!</definedName>
    <definedName name="Skill_Group_Update_Interval_v711" localSheetId="2">#REF!</definedName>
    <definedName name="Skill_Group_Update_Interval_v711">#REF!</definedName>
    <definedName name="Skill_Group_Update_Interval_v721" localSheetId="2">#REF!</definedName>
    <definedName name="Skill_Group_Update_Interval_v721">#REF!</definedName>
    <definedName name="Skill_Group_Update_Interval_v751" localSheetId="2">#REF!</definedName>
    <definedName name="Skill_Group_Update_Interval_v751">#REF!</definedName>
    <definedName name="Skill_Group_Update_Interval_v801" localSheetId="2">'Finesse 12.6'!$B$51</definedName>
    <definedName name="Skill_Group_Update_Interval_v801">#REF!</definedName>
    <definedName name="Sum_of_all_Call_Variable_Values" localSheetId="2">'Finesse 12.6'!$B$63</definedName>
    <definedName name="Sum_of_all_Call_Variable_Values_v5x" localSheetId="2">#REF!</definedName>
    <definedName name="Sum_of_all_Call_Variable_Values_v5x">#REF!</definedName>
    <definedName name="Sum_of_all_Call_Variable_Values_v60" localSheetId="2">#REF!</definedName>
    <definedName name="Sum_of_all_Call_Variable_Values_v60">#REF!</definedName>
    <definedName name="Sum_of_all_Call_Variable_Values_v70" localSheetId="2">#REF!</definedName>
    <definedName name="Sum_of_all_Call_Variable_Values_v70">#REF!</definedName>
    <definedName name="Sum_of_all_Call_Variable_Values_v711" localSheetId="2">#REF!</definedName>
    <definedName name="Sum_of_all_Call_Variable_Values_v711">#REF!</definedName>
    <definedName name="Sum_of_all_Call_Variable_Values_v721" localSheetId="2">#REF!</definedName>
    <definedName name="Sum_of_all_Call_Variable_Values_v721">#REF!</definedName>
    <definedName name="Sum_of_all_Call_Variable_Values_v751" localSheetId="2">#REF!</definedName>
    <definedName name="Sum_of_all_Call_Variable_Values_v751">#REF!</definedName>
    <definedName name="Sum_of_all_Call_Variable_Values_v901" localSheetId="2">'Finesse 12.6'!$B$63</definedName>
    <definedName name="Sum_of_all_Call_Variable_Values_v901">#REF!</definedName>
    <definedName name="Sum_of_all_ECC_Variable_Names" localSheetId="2">'Finesse 12.6'!$B$59</definedName>
    <definedName name="Sum_of_all_ECC_Variable_Names_v5x" localSheetId="2">#REF!</definedName>
    <definedName name="Sum_of_all_ECC_Variable_Names_v5x">#REF!</definedName>
    <definedName name="Sum_of_all_ECC_Variable_Names_v60" localSheetId="2">#REF!</definedName>
    <definedName name="Sum_of_all_ECC_Variable_Names_v60">#REF!</definedName>
    <definedName name="Sum_of_all_ECC_Variable_Names_v70" localSheetId="2">#REF!</definedName>
    <definedName name="Sum_of_all_ECC_Variable_Names_v70">#REF!</definedName>
    <definedName name="Sum_of_all_ECC_Variable_Names_v711" localSheetId="2">#REF!</definedName>
    <definedName name="Sum_of_all_ECC_Variable_Names_v711">#REF!</definedName>
    <definedName name="Sum_of_all_ECC_Variable_Names_v721" localSheetId="2">#REF!</definedName>
    <definedName name="Sum_of_all_ECC_Variable_Names_v721">#REF!</definedName>
    <definedName name="Sum_of_all_ECC_Variable_Names_v751" localSheetId="2">#REF!</definedName>
    <definedName name="Sum_of_all_ECC_Variable_Names_v751">#REF!</definedName>
    <definedName name="Sum_of_all_ECC_Variable_Names_v901" localSheetId="2">'Finesse 12.6'!$B$59</definedName>
    <definedName name="Sum_of_all_ECC_Variable_Names_v901">#REF!</definedName>
    <definedName name="Sum_of_all_ECC_Variable_Values" localSheetId="2">'Finesse 12.6'!$B$60</definedName>
    <definedName name="Sum_of_all_ECC_Variable_Values_v5x" localSheetId="2">#REF!</definedName>
    <definedName name="Sum_of_all_ECC_Variable_Values_v5x">#REF!</definedName>
    <definedName name="Sum_of_all_ECC_Variable_Values_v60" localSheetId="2">#REF!</definedName>
    <definedName name="Sum_of_all_ECC_Variable_Values_v60">#REF!</definedName>
    <definedName name="Sum_of_all_ECC_Variable_Values_v70" localSheetId="2">#REF!</definedName>
    <definedName name="Sum_of_all_ECC_Variable_Values_v70">#REF!</definedName>
    <definedName name="Sum_of_all_ECC_Variable_Values_v711" localSheetId="2">#REF!</definedName>
    <definedName name="Sum_of_all_ECC_Variable_Values_v711">#REF!</definedName>
    <definedName name="Sum_of_all_ECC_Variable_Values_v721" localSheetId="2">#REF!</definedName>
    <definedName name="Sum_of_all_ECC_Variable_Values_v721">#REF!</definedName>
    <definedName name="Sum_of_all_ECC_Variable_Values_v751" localSheetId="2">#REF!</definedName>
    <definedName name="Sum_of_all_ECC_Variable_Values_v751">#REF!</definedName>
    <definedName name="Sum_of_all_ECC_Variable_Values_v901" localSheetId="2">'Finesse 12.6'!$B$60</definedName>
    <definedName name="Sum_of_all_ECC_Variable_Values_v901">#REF!</definedName>
    <definedName name="Tasks_Per_Second">'Finesse 12.6'!$B$28</definedName>
    <definedName name="Total" localSheetId="2">'Finesse 12.6'!$B$36</definedName>
    <definedName name="Totall">'Finesse 12.6'!$B$36</definedName>
    <definedName name="Totalll">'Finesse 12.6'!$B$36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7" i="17" l="1"/>
  <c r="B128" i="17"/>
  <c r="B187" i="17"/>
  <c r="B109" i="17"/>
  <c r="F58" i="5" l="1"/>
  <c r="E58" i="5"/>
  <c r="E57" i="5"/>
  <c r="F56" i="5"/>
  <c r="E56" i="5"/>
  <c r="F55" i="5"/>
  <c r="E55" i="5"/>
  <c r="F54" i="5"/>
  <c r="E54" i="5"/>
  <c r="F29" i="5"/>
  <c r="E29" i="5"/>
  <c r="F28" i="5"/>
  <c r="E28" i="5"/>
  <c r="F27" i="5"/>
  <c r="E27" i="5"/>
  <c r="F26" i="5"/>
  <c r="E26" i="5"/>
  <c r="F25" i="5"/>
  <c r="E25" i="5"/>
  <c r="B108" i="17" l="1"/>
  <c r="F12" i="5" l="1"/>
  <c r="F11" i="5"/>
  <c r="F10" i="5"/>
  <c r="F9" i="5"/>
  <c r="F8" i="5"/>
  <c r="F7" i="5"/>
  <c r="F6" i="5"/>
  <c r="F5" i="5"/>
  <c r="E12" i="5"/>
  <c r="E11" i="5"/>
  <c r="E10" i="5"/>
  <c r="E9" i="5"/>
  <c r="E8" i="5"/>
  <c r="E7" i="5"/>
  <c r="E6" i="5"/>
  <c r="E5" i="5"/>
  <c r="F24" i="17" l="1"/>
  <c r="F138" i="17"/>
  <c r="F135" i="17"/>
  <c r="F136" i="17" s="1"/>
  <c r="F134" i="17"/>
  <c r="H23" i="5"/>
  <c r="H22" i="5"/>
  <c r="H21" i="5"/>
  <c r="B91" i="17" s="1"/>
  <c r="E21" i="5"/>
  <c r="B86" i="17" s="1"/>
  <c r="B92" i="17" l="1"/>
  <c r="B87" i="17"/>
  <c r="F19" i="17"/>
  <c r="B185" i="17" l="1"/>
  <c r="F30" i="5" l="1"/>
  <c r="E30" i="5"/>
  <c r="B129" i="17" l="1"/>
  <c r="B206" i="17"/>
  <c r="E35" i="5"/>
  <c r="E34" i="5"/>
  <c r="B204" i="17" l="1"/>
  <c r="B205" i="17" s="1"/>
  <c r="B207" i="17" s="1"/>
  <c r="B208" i="17" s="1"/>
  <c r="B94" i="17"/>
  <c r="B96" i="17" s="1"/>
  <c r="B15" i="17"/>
  <c r="B74" i="17" s="1"/>
  <c r="B13" i="17"/>
  <c r="B72" i="17" s="1"/>
  <c r="B22" i="17"/>
  <c r="B23" i="17" s="1"/>
  <c r="B28" i="17"/>
  <c r="B179" i="17" s="1"/>
  <c r="B45" i="17"/>
  <c r="B12" i="5"/>
  <c r="D11" i="5"/>
  <c r="B11" i="5"/>
  <c r="B10" i="5"/>
  <c r="D9" i="5"/>
  <c r="B9" i="5"/>
  <c r="B5" i="5"/>
  <c r="D5" i="5"/>
  <c r="B6" i="5"/>
  <c r="B7" i="5"/>
  <c r="D7" i="5"/>
  <c r="B8" i="5"/>
  <c r="B156" i="17"/>
  <c r="B155" i="17"/>
  <c r="B54" i="17"/>
  <c r="B157" i="17" l="1"/>
  <c r="B134" i="17"/>
  <c r="B182" i="17"/>
  <c r="B160" i="17"/>
  <c r="B113" i="17"/>
  <c r="B120" i="17"/>
  <c r="B127" i="17"/>
  <c r="B142" i="17"/>
  <c r="B143" i="17"/>
  <c r="B75" i="17"/>
  <c r="B95" i="17"/>
  <c r="B97" i="17" s="1"/>
  <c r="B131" i="17"/>
  <c r="B130" i="17"/>
  <c r="B178" i="17"/>
  <c r="B181" i="17"/>
  <c r="B73" i="17"/>
  <c r="B167" i="17"/>
  <c r="B171" i="17"/>
  <c r="B175" i="17"/>
  <c r="B118" i="17"/>
  <c r="B122" i="17"/>
  <c r="B126" i="17"/>
  <c r="B159" i="17"/>
  <c r="B173" i="17"/>
  <c r="B124" i="17"/>
  <c r="B174" i="17"/>
  <c r="B117" i="17"/>
  <c r="B121" i="17"/>
  <c r="B112" i="17"/>
  <c r="B163" i="17"/>
  <c r="B168" i="17"/>
  <c r="B172" i="17"/>
  <c r="B176" i="17"/>
  <c r="B115" i="17"/>
  <c r="B119" i="17"/>
  <c r="B123" i="17"/>
  <c r="B110" i="17"/>
  <c r="B161" i="17"/>
  <c r="B165" i="17"/>
  <c r="B116" i="17"/>
  <c r="B158" i="17"/>
  <c r="B166" i="17"/>
  <c r="B169" i="17"/>
  <c r="B111" i="17"/>
  <c r="B170" i="17"/>
  <c r="B125" i="17"/>
  <c r="B133" i="17"/>
  <c r="B180" i="17"/>
  <c r="B132" i="17"/>
  <c r="B188" i="17" l="1"/>
  <c r="B138" i="17"/>
  <c r="B139" i="17"/>
  <c r="B136" i="17"/>
  <c r="B135" i="17"/>
  <c r="B89" i="17"/>
  <c r="B144" i="17"/>
  <c r="B145" i="17" s="1"/>
  <c r="B88" i="17"/>
  <c r="B184" i="17"/>
  <c r="B183" i="17"/>
  <c r="B186" i="17" l="1"/>
  <c r="D160" i="17" s="1"/>
  <c r="B137" i="17"/>
  <c r="D177" i="17" s="1"/>
  <c r="D128" i="17" l="1"/>
  <c r="D127" i="17"/>
  <c r="D129" i="17"/>
  <c r="D180" i="17"/>
  <c r="D115" i="17"/>
  <c r="D134" i="17"/>
  <c r="D123" i="17"/>
  <c r="D132" i="17"/>
  <c r="D112" i="17"/>
  <c r="D125" i="17"/>
  <c r="D181" i="17"/>
  <c r="D133" i="17"/>
  <c r="D120" i="17"/>
  <c r="D111" i="17"/>
  <c r="D126" i="17"/>
  <c r="D130" i="17"/>
  <c r="D119" i="17"/>
  <c r="D121" i="17"/>
  <c r="D108" i="17"/>
  <c r="D122" i="17"/>
  <c r="D116" i="17"/>
  <c r="D182" i="17"/>
  <c r="D117" i="17"/>
  <c r="D135" i="17"/>
  <c r="D178" i="17"/>
  <c r="D118" i="17"/>
  <c r="D179" i="17"/>
  <c r="D131" i="17"/>
  <c r="D136" i="17"/>
  <c r="D110" i="17"/>
  <c r="D124" i="17"/>
  <c r="D109" i="17"/>
  <c r="D163" i="17"/>
  <c r="D175" i="17"/>
  <c r="D165" i="17"/>
  <c r="D172" i="17"/>
  <c r="D171" i="17"/>
  <c r="D184" i="17"/>
  <c r="D155" i="17"/>
  <c r="D164" i="17"/>
  <c r="D183" i="17"/>
  <c r="D158" i="17"/>
  <c r="D168" i="17"/>
  <c r="D169" i="17"/>
  <c r="D159" i="17"/>
  <c r="D157" i="17"/>
  <c r="D173" i="17"/>
  <c r="D167" i="17"/>
  <c r="D166" i="17"/>
  <c r="D161" i="17"/>
  <c r="D170" i="17"/>
  <c r="D176" i="17"/>
  <c r="D156" i="17"/>
  <c r="D174" i="17"/>
  <c r="D137" i="17" l="1"/>
  <c r="D144" i="17" s="1"/>
  <c r="D186" i="17"/>
</calcChain>
</file>

<file path=xl/sharedStrings.xml><?xml version="1.0" encoding="utf-8"?>
<sst xmlns="http://schemas.openxmlformats.org/spreadsheetml/2006/main" count="669" uniqueCount="314">
  <si>
    <t>Message Header + TCP Overhead</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</si>
  <si>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</si>
  <si>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</si>
  <si>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</si>
  <si>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</si>
  <si>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</si>
  <si>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</si>
  <si>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</si>
  <si>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</si>
  <si>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</si>
  <si>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Value</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</si>
  <si>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</si>
  <si>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</si>
  <si>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</si>
  <si>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</si>
  <si>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</si>
  <si>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</si>
  <si>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</si>
  <si>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</si>
  <si>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</si>
  <si>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</si>
  <si>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</si>
  <si>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</si>
  <si>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</si>
  <si>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</si>
  <si>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</si>
  <si>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</si>
  <si>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</si>
  <si>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</si>
  <si>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</si>
  <si>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</si>
  <si>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</si>
  <si>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</si>
  <si>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</si>
  <si>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</si>
  <si>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</si>
  <si>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</si>
  <si>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</si>
  <si>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</si>
  <si>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</si>
  <si>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</si>
  <si>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</si>
  <si>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</si>
  <si>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</si>
  <si>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</si>
  <si>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</si>
  <si>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</si>
  <si>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</si>
  <si>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</si>
  <si>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</si>
  <si>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</si>
  <si>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</si>
  <si>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</si>
  <si>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</si>
  <si>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</si>
  <si>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</si>
  <si>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</si>
  <si>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</si>
  <si>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</si>
  <si>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</si>
  <si>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</si>
  <si>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</si>
  <si>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</si>
  <si>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</si>
  <si>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</si>
  <si>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</si>
  <si>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</si>
  <si>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</si>
  <si>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Average number of Skill Groups per Supervisor</t>
  </si>
  <si>
    <t>0 &lt;= "Sum of all Call Variable Values" &lt;= 400
Maximum length is 40 chars per variable</t>
  </si>
  <si>
    <t>2000 maximum</t>
  </si>
  <si>
    <t>(N/A for Finesse) Number of All Agents Monitors</t>
  </si>
  <si>
    <t>(N/A for Finesse) Percentage of Single Step Transfer Calls</t>
  </si>
  <si>
    <t>Finesse Bandwidth Calculator</t>
  </si>
  <si>
    <t>CCE Configuration Information</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</si>
  <si>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</si>
  <si>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</si>
  <si>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</si>
  <si>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</si>
  <si>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</si>
  <si>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</si>
  <si>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</si>
  <si>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(N/A for Finesse)  Single Step Transfer Bandwidth</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</si>
  <si>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</si>
  <si>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</si>
  <si>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</si>
  <si>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</si>
  <si>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</si>
  <si>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</si>
  <si>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</si>
  <si>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</si>
  <si>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</si>
  <si>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</si>
  <si>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</si>
  <si>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</si>
  <si>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</si>
  <si>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</si>
  <si>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</si>
  <si>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</si>
  <si>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</si>
  <si>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</si>
  <si>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</si>
  <si>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</si>
  <si>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</si>
  <si>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</si>
  <si>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</si>
  <si>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</si>
  <si>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</si>
  <si>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</si>
  <si>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</si>
  <si>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</si>
  <si>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</si>
  <si>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</si>
  <si>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</si>
  <si>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</si>
  <si>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</si>
  <si>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Login</t>
  </si>
  <si>
    <t>minute(s)</t>
  </si>
  <si>
    <t>Maximum Login Time for all users</t>
  </si>
  <si>
    <t>1. Enter the appropriate values in the yellow boxes to characterize the Call Center to be evaluated.</t>
  </si>
  <si>
    <t>2. Do not modify any cells that are green or grey.</t>
  </si>
  <si>
    <t>3. Total Bandwidth, Agent Bandwidth and Supervisor Bandwidth requirements are calculated and presented at the bottom of the spreadsheet.</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</si>
  <si>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</si>
  <si>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2. The "BW Data" sheet should not be modified.  It contains the empirical data collected to model the bandwidth utilization.</t>
  </si>
  <si>
    <t>5. The bandwidth calculations in this spreadsheet are for control messaging between Finesse desktop and server, and do not include the RTP voice stream bandwidth, nor Silent Monitoring RTP stream bandwidth.</t>
  </si>
  <si>
    <t>Bytes</t>
  </si>
  <si>
    <t>The total amount of time it should take for all agents to log into the Finesse server including Finesse failover conditions.  If the deployment includes 2000 agents and this value is set to 5 minutes, all 2000 agents should be able to point their browser to Finesse and complete the login sequence within 5 minutes.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</si>
  <si>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</si>
  <si>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</si>
  <si>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</si>
  <si>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</si>
  <si>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</si>
  <si>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</si>
  <si>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</si>
  <si>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</si>
  <si>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Post-Login Client to Server  Bandwidth</t>
  </si>
  <si>
    <t>Finesse Server to CTI Server  Bandwidth</t>
  </si>
  <si>
    <t>Supervisor Login</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</si>
  <si>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</si>
  <si>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</si>
  <si>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</si>
  <si>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</si>
  <si>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</si>
  <si>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</si>
  <si>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</si>
  <si>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</si>
  <si>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</si>
  <si>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</si>
  <si>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</si>
  <si>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Number of configured skill groups on the PG</t>
  </si>
  <si>
    <t>Single Step Transfer Bandwidth</t>
  </si>
  <si>
    <t xml:space="preserve">3. The calculator is based on per Finesse server per site. If one Finesse Server has more than one remote site, then the calculator should be run once for each remote site to be evaluated. </t>
  </si>
  <si>
    <t xml:space="preserve">4. For distributed deployments (i.e. not all agents located at the same physical site), the Finesse Bandwidth Calculator should be run once for each site to calculate the bandwidth required between each site and it's respective Finesse server.  </t>
  </si>
  <si>
    <t>Context Service</t>
  </si>
  <si>
    <t>CS gadget authentication requests</t>
  </si>
  <si>
    <t xml:space="preserve">POD Update </t>
  </si>
  <si>
    <t>Agent Voice Login - No Caching - without SSO</t>
  </si>
  <si>
    <t>Agent Voice Login - Caching - without SSO</t>
  </si>
  <si>
    <t>Supervisor Voice Login - No Caching - without SSO</t>
  </si>
  <si>
    <t>Supervisor Voice Login - Caching - without SSO</t>
  </si>
  <si>
    <t>Agent Voice Login - No Caching - with SSO</t>
  </si>
  <si>
    <t>Agent Voice Login - Caching - with SSO</t>
  </si>
  <si>
    <t>Supervisor Voice Login - No Caching - with SSO</t>
  </si>
  <si>
    <t>Supervisor Voice Login - Caching - with SSO</t>
  </si>
  <si>
    <t>Task Scenarios</t>
  </si>
  <si>
    <t>Incoming Task - All Messages</t>
  </si>
  <si>
    <t>Pause Task - All Messages</t>
  </si>
  <si>
    <t>Resume Task - All Messages</t>
  </si>
  <si>
    <t>Avg_Agent_State_Changes_Per_Task_NoWrap</t>
  </si>
  <si>
    <t>Avg_Agent_State_Changes_Per_Task_Wrap</t>
  </si>
  <si>
    <t>Number of multi-channel agents</t>
  </si>
  <si>
    <t>Average number of non-voice MRDs per multi-channel agent</t>
  </si>
  <si>
    <t>Non-voice MRDs</t>
  </si>
  <si>
    <t>Task Profile</t>
  </si>
  <si>
    <t>Busy Hour Task Attempts</t>
  </si>
  <si>
    <t>tasks/hour</t>
  </si>
  <si>
    <t>Typically 5 tasks per hour per agent</t>
  </si>
  <si>
    <t>Agent Task Wrap-Up Time</t>
  </si>
  <si>
    <t>Average Task Duration</t>
  </si>
  <si>
    <t>Tasks Per Second</t>
  </si>
  <si>
    <t>Equal to ((Number of Agents) / (Average Task Duration))</t>
  </si>
  <si>
    <t>Task Distribution</t>
  </si>
  <si>
    <t>Percentage of Incoming Straight Tasks</t>
  </si>
  <si>
    <t>Percentage of Transferred Tasks</t>
  </si>
  <si>
    <t>85% Straight Tasks Typical, 10% Transferred Tasks</t>
  </si>
  <si>
    <t>Adjust Task Distribution to equal 100%</t>
  </si>
  <si>
    <t>Percentage of Paused and ResumedTasks</t>
  </si>
  <si>
    <t>Agent Voice Login Bandwidth - No Caching</t>
  </si>
  <si>
    <t>Agent Voice Login Bandwidth - Caching</t>
  </si>
  <si>
    <t>Supervisor Voice Login Bandwidth - No Caching</t>
  </si>
  <si>
    <t>Supervisor Voice Login Bandwidth - Caching</t>
  </si>
  <si>
    <t>Total Voice Bandwidth - No Caching</t>
  </si>
  <si>
    <t>Total Voice Bandwidth - Caching</t>
  </si>
  <si>
    <t>Agent Non-Voice Login Bandwidth - No Caching</t>
  </si>
  <si>
    <t>Agent Non-Voice Login Bandwidth - Caching</t>
  </si>
  <si>
    <t>Total Number of Agents</t>
  </si>
  <si>
    <t>Number of SSO enabled agents</t>
  </si>
  <si>
    <t>Number of SSO enabled supervisors</t>
  </si>
  <si>
    <t>Number of non-SSO supervisors</t>
  </si>
  <si>
    <t>agents(s)</t>
  </si>
  <si>
    <t>Total Non-Voice Bandwidth - No Caching</t>
  </si>
  <si>
    <t>Total Non-Voice Bandwidth - Caching</t>
  </si>
  <si>
    <t>Client to Finesse Server Voice Login Bandwidth</t>
  </si>
  <si>
    <t>Client to Finesse Server Non-Voice Login Bandwidth</t>
  </si>
  <si>
    <t>Percentage of Interrupted Tasks</t>
  </si>
  <si>
    <t>Straight Task Bandwidth</t>
  </si>
  <si>
    <t>Single Step Task Transfer Bandwidth</t>
  </si>
  <si>
    <t>Interrupted Task Bandwidth</t>
  </si>
  <si>
    <t>Paused and Resumed Task Bandwidth</t>
  </si>
  <si>
    <t>Transfer Task - All Messages</t>
  </si>
  <si>
    <t>Interrupted Task - All Messages</t>
  </si>
  <si>
    <t>Task Wrap-Up Bandwidth</t>
  </si>
  <si>
    <t xml:space="preserve">Agent Non-voice (1 MRD) Login - No Caching </t>
  </si>
  <si>
    <t>Agent Non-voice (1 MRD) Login - Caching</t>
  </si>
  <si>
    <t>Supervisor Non-voice (1 MRD) Login - No Caching</t>
  </si>
  <si>
    <t>Supervisor Non-Voice (1 MRD) Login - Caching</t>
  </si>
  <si>
    <t>Chat Scenarios</t>
  </si>
  <si>
    <t xml:space="preserve">To establish a single Chat session </t>
  </si>
  <si>
    <t>NA</t>
  </si>
  <si>
    <t>Send or Receive a single character to a Chat peer</t>
  </si>
  <si>
    <t>Presence and State change for one of the contacts</t>
  </si>
  <si>
    <t>1 MB Attachment transfer to a Chat peer</t>
  </si>
  <si>
    <t>Number of new Chats sessions for an Agent/hour</t>
  </si>
  <si>
    <t>chat sessions/hour</t>
  </si>
  <si>
    <t>Avg. no of messages exchaged(Sent and Received) per Agent /minute</t>
  </si>
  <si>
    <t>messages/minute</t>
  </si>
  <si>
    <t>Avg. no of characters per message</t>
  </si>
  <si>
    <t>Avg. no of contacts in address book per Agent</t>
  </si>
  <si>
    <t>Avg. no of 1 MB File Transfers per contact/hour</t>
  </si>
  <si>
    <t>transfers/minute</t>
  </si>
  <si>
    <t>Avg no of State changes per contact/hour</t>
  </si>
  <si>
    <t>Maximum Chat server Login Time for all users</t>
  </si>
  <si>
    <t>Cost to fetch one contact's Presence while Login</t>
  </si>
  <si>
    <t>Total no of Agents on Chat</t>
  </si>
  <si>
    <t>The total amount of time it should take for all agents to log into the Chat server.  If the deployment includes 300 agents and this value is set to 5 minutes.</t>
  </si>
  <si>
    <t>Chat Related Parameters</t>
  </si>
  <si>
    <t>Measured HTTP Bandwidth for an Agent</t>
  </si>
  <si>
    <t>Agent Chat Bandwidth</t>
  </si>
  <si>
    <t>Idle Bandwidth for an Agent to be Logged on to Chat Service</t>
  </si>
  <si>
    <t>Post-Login Desktop to IM&amp;P Server (chat) Bandwidth</t>
  </si>
  <si>
    <t>Team Messages Related Parameters</t>
  </si>
  <si>
    <t>Maximun No of Team Messages/hour</t>
  </si>
  <si>
    <t>Messages/Hour</t>
  </si>
  <si>
    <t>Single Team Message size</t>
  </si>
  <si>
    <t>Avg. Team Messages Bandwidth per Agent</t>
  </si>
  <si>
    <t>Number of non-SSO agents</t>
  </si>
  <si>
    <r>
      <rPr>
        <b/>
        <sz val="10"/>
        <rFont val="Arial"/>
        <family val="2"/>
      </rPr>
      <t>Note</t>
    </r>
    <r>
      <rPr>
        <sz val="10"/>
        <rFont val="Arial"/>
      </rPr>
      <t>: Only make changes to fields in yellow.</t>
    </r>
  </si>
  <si>
    <t xml:space="preserve">No of Skillgroups configured </t>
  </si>
  <si>
    <t>kbps/SkillGroup</t>
  </si>
  <si>
    <t>Total Queue Statistics Polling Bandwidth</t>
  </si>
  <si>
    <t>Queue Statistics bandwidth for a single poll/SkillGroup</t>
  </si>
  <si>
    <t>Finesse Server to CTI Server Bandwidth for Queue Statistics Polling</t>
  </si>
  <si>
    <t>Link</t>
  </si>
  <si>
    <r>
      <rPr>
        <b/>
        <sz val="10"/>
        <rFont val="Arial"/>
        <family val="2"/>
      </rPr>
      <t>NOTE:</t>
    </r>
    <r>
      <rPr>
        <sz val="10"/>
        <rFont val="Arial"/>
        <family val="2"/>
      </rPr>
      <t xml:space="preserve"> Bandwidth requirements realted to LiveData related reports(i.e. State and Call History reports etc) are not included in the Client to Finesse Server bandwidth calculations. The bandwidth related to LiveData reports has to be considered separately. Please, refer the following link below</t>
    </r>
  </si>
  <si>
    <t>Finesse 12.5</t>
  </si>
  <si>
    <t>Bytes_Per_Contact_In_Phonebook</t>
  </si>
  <si>
    <r>
      <t>DISCLAIMER</t>
    </r>
    <r>
      <rPr>
        <sz val="10"/>
        <color indexed="10"/>
        <rFont val="Arial"/>
        <family val="2"/>
      </rPr>
      <t xml:space="preserve">: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 </t>
    </r>
    <r>
      <rPr>
        <sz val="10"/>
        <color rgb="FFFF0000"/>
        <rFont val="Arial"/>
        <family val="2"/>
      </rPr>
      <t xml:space="preserve">The heartbeat frequency is increased in 12.5 which results in an additional bandwidth of 100 bytes/second. </t>
    </r>
  </si>
  <si>
    <t>contact(s)</t>
  </si>
  <si>
    <t>Reason codes(s)</t>
  </si>
  <si>
    <t>Average Number of Wrapup Reasons/Team</t>
  </si>
  <si>
    <t>Wrapup Reason codes(s)</t>
  </si>
  <si>
    <t>Average Number of Workflows/Team</t>
  </si>
  <si>
    <t>Workflow(s)</t>
  </si>
  <si>
    <t>Average Number of Phonebook contacts/Agent</t>
  </si>
  <si>
    <t xml:space="preserve">Assuming the reason code to take 250 bytes (50% of sum of all the tags and  max length of reason code label). </t>
  </si>
  <si>
    <t xml:space="preserve">Assuming the Workflow to take 1600 bytes (tags making 1525 bytes and 75 bytes for Workflow name, action name, description). </t>
  </si>
  <si>
    <t xml:space="preserve">Assuming the wrapup to take 150 bytes (tags making 125 bytes and 25 bytes for wrapup reason code as maximum length of wrapup reason can only be 40 bytes). </t>
  </si>
  <si>
    <t>Average Number of Not Ready Reason codes/Team in addition to system reason codes</t>
  </si>
  <si>
    <t>Average Number of Logout Reason codes/Team  in addition to system reason codes</t>
  </si>
  <si>
    <t>Average number of characters in Phonebooks contact first name</t>
  </si>
  <si>
    <t>Average number of characters in Phonebooks contact last name</t>
  </si>
  <si>
    <t>Average number of characters in Phonebooks contact phone number</t>
  </si>
  <si>
    <t>Average number of characters in Phonebooks contact description</t>
  </si>
  <si>
    <t>Average character size for phonebook contacts fields</t>
  </si>
  <si>
    <t>standard size of 180 is added for tags in phonebook contact.</t>
  </si>
  <si>
    <t>Client to Cloud Services Voice Login Bandwidth</t>
  </si>
  <si>
    <t>Post-Login Client to Cloud Services Bandwidth</t>
  </si>
  <si>
    <t>Number of Agents and Supervisors with Answers service enabled</t>
  </si>
  <si>
    <t>Number of Agents and Supervisors with Transcript service enabled</t>
  </si>
  <si>
    <t>agent(s) + supervisor(s)</t>
  </si>
  <si>
    <t xml:space="preserve">Percentage of Calls having CCAI Config assosiated </t>
  </si>
  <si>
    <t>Enabled in CCEAdmin &gt; Agents</t>
  </si>
  <si>
    <t>* CCAI Configuration Information</t>
  </si>
  <si>
    <t>Configured in ControlHub and CCEAdmin &gt; CallTypes</t>
  </si>
  <si>
    <t>Answers gadget Bandwidth</t>
  </si>
  <si>
    <t>12.6 
Client to Cloud</t>
  </si>
  <si>
    <t>Answers - Post Login</t>
  </si>
  <si>
    <t>Answers and Transcripts -  Login</t>
  </si>
  <si>
    <t>Bandwidth is same when either gadgets or both gadgets are enabled for the agent</t>
  </si>
  <si>
    <t>CCAI Gadgets -  Answers</t>
  </si>
  <si>
    <t>CCAI Gadgets - Transcripts</t>
  </si>
  <si>
    <t>CCAI Gadgets</t>
  </si>
  <si>
    <t>Total bandwidth / call per second</t>
  </si>
  <si>
    <t>Release 12.6</t>
  </si>
  <si>
    <t>12.6
Client to Server</t>
  </si>
  <si>
    <t>12.6
Server to CTI</t>
  </si>
  <si>
    <t>12.6 FIPPA</t>
  </si>
  <si>
    <t>Avg Bandwidth Per Agent Required</t>
  </si>
  <si>
    <t>Avg Bandwidth Per Supervisor Required</t>
  </si>
  <si>
    <t>CCAI Service Data</t>
  </si>
  <si>
    <t>CCAI config id</t>
  </si>
  <si>
    <t>Number of services Configured</t>
  </si>
  <si>
    <t>Call Details</t>
  </si>
  <si>
    <t>Active Call Details</t>
  </si>
  <si>
    <t>CCAI Service Configuration details Bandwidth</t>
  </si>
  <si>
    <t>Additional Bytes for CCAI single service configured</t>
  </si>
  <si>
    <t>Transcript - Post Login</t>
  </si>
  <si>
    <t>Transcript Gadget Bandwidth</t>
  </si>
  <si>
    <t>Number_of_TPG_Configured</t>
  </si>
  <si>
    <t xml:space="preserve">   Concurrent Agent sessions per TPG</t>
  </si>
  <si>
    <t xml:space="preserve">   Number of teams for supervisor</t>
  </si>
  <si>
    <t>team(s)</t>
  </si>
  <si>
    <t>The number of teams supervisor is monitoring.</t>
  </si>
  <si>
    <t>0 Default, 50 agents per team maximum, used in calculating tpg bandwidth, (considering 30 agents in call for 1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</si>
</sst>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6"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
      <u/>
      <sz val="10"/>
      <color theme="10"/>
      <name val="Arial"/>
      <family val="2"/>
    </font>
    <font>
      <u/>
      <sz val="14"/>
      <color theme="10"/>
      <name val="Arial"/>
      <family val="2"/>
    </font>
    <font>
      <b/>
      <sz val="14"/>
      <color rgb="FFFF0000"/>
      <name val="Arial"/>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top/>
      <bottom/>
      <diagonal/>
    </border>
  </borders>
  <cellStyleXfs count="4">
    <xf numFmtId="0" fontId="0" fillId="0" borderId="0"/>
    <xf numFmtId="43" fontId="10" fillId="0" borderId="0" applyFont="0" applyFill="0" applyBorder="0" applyAlignment="0" applyProtection="0"/>
    <xf numFmtId="43" fontId="2" fillId="0" borderId="0" applyFont="0" applyFill="0" applyBorder="0" applyAlignment="0" applyProtection="0"/>
    <xf numFmtId="0" fontId="13" fillId="0" borderId="0" applyNumberFormat="0" applyFill="0" applyBorder="0" applyAlignment="0" applyProtection="0"/>
  </cellStyleXfs>
  <cellXfs count="351">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4"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5"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4"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4"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4" fillId="3" borderId="4" xfId="0" applyFont="1" applyFill="1" applyBorder="1" applyAlignment="1">
      <alignment horizontal="right" indent="2"/>
    </xf>
    <xf numFmtId="164"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25" xfId="0" applyFont="1" applyFill="1" applyBorder="1" applyAlignment="1">
      <alignment horizontal="left" vertical="top" wrapText="1"/>
    </xf>
    <xf numFmtId="0" fontId="0" fillId="0" borderId="0" xfId="0" applyFill="1" applyBorder="1" applyAlignment="1"/>
    <xf numFmtId="0" fontId="0" fillId="4" borderId="2" xfId="0" applyFill="1" applyBorder="1" applyAlignment="1" applyProtection="1">
      <alignment horizontal="center" vertical="top"/>
      <protection locked="0"/>
    </xf>
    <xf numFmtId="0" fontId="4" fillId="3" borderId="28" xfId="0" applyFont="1" applyFill="1" applyBorder="1"/>
    <xf numFmtId="0" fontId="0" fillId="3" borderId="29" xfId="0" applyFill="1" applyBorder="1" applyAlignment="1">
      <alignment horizontal="center"/>
    </xf>
    <xf numFmtId="0" fontId="0" fillId="3" borderId="29" xfId="0" applyFill="1" applyBorder="1"/>
    <xf numFmtId="0" fontId="0" fillId="3" borderId="30" xfId="0" applyFill="1" applyBorder="1" applyAlignment="1">
      <alignment wrapText="1"/>
    </xf>
    <xf numFmtId="0" fontId="4" fillId="3" borderId="31" xfId="0" applyFont="1" applyFill="1" applyBorder="1"/>
    <xf numFmtId="0" fontId="0" fillId="3" borderId="32" xfId="0" applyFill="1" applyBorder="1" applyAlignment="1">
      <alignment horizontal="center"/>
    </xf>
    <xf numFmtId="0" fontId="0" fillId="3" borderId="32" xfId="0" applyFill="1" applyBorder="1"/>
    <xf numFmtId="0" fontId="0" fillId="3" borderId="33" xfId="0" applyFill="1" applyBorder="1" applyAlignment="1">
      <alignment wrapText="1"/>
    </xf>
    <xf numFmtId="0" fontId="0" fillId="4" borderId="14" xfId="0" applyFill="1" applyBorder="1" applyAlignment="1" applyProtection="1">
      <alignment horizontal="center" vertical="top"/>
      <protection locked="0"/>
    </xf>
    <xf numFmtId="0" fontId="0" fillId="4" borderId="1" xfId="0" applyFill="1" applyBorder="1" applyAlignment="1" applyProtection="1">
      <alignment horizontal="center" vertical="top"/>
      <protection locked="0"/>
    </xf>
    <xf numFmtId="0" fontId="2" fillId="4" borderId="14" xfId="0" applyFon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4"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164" fontId="8" fillId="2" borderId="14" xfId="0" applyNumberFormat="1" applyFont="1" applyFill="1" applyBorder="1" applyAlignment="1">
      <alignment horizontal="center"/>
    </xf>
    <xf numFmtId="0" fontId="8" fillId="2" borderId="8" xfId="0" applyFont="1" applyFill="1" applyBorder="1" applyAlignment="1">
      <alignment horizontal="left" indent="2"/>
    </xf>
    <xf numFmtId="0" fontId="8" fillId="2" borderId="1" xfId="0" applyFont="1" applyFill="1" applyBorder="1"/>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4" borderId="16" xfId="0" applyFont="1" applyFill="1" applyBorder="1" applyAlignment="1" applyProtection="1">
      <alignment horizontal="center" vertical="top"/>
      <protection locked="0"/>
    </xf>
    <xf numFmtId="0" fontId="8" fillId="2" borderId="16" xfId="0" applyFont="1" applyFill="1" applyBorder="1" applyAlignment="1">
      <alignment vertical="top"/>
    </xf>
    <xf numFmtId="0" fontId="12" fillId="2" borderId="1" xfId="0" applyFont="1" applyFill="1" applyBorder="1" applyAlignment="1">
      <alignment horizontal="left" vertical="top" indent="1"/>
    </xf>
    <xf numFmtId="0" fontId="12" fillId="4" borderId="1" xfId="0" applyFont="1" applyFill="1" applyBorder="1" applyAlignment="1" applyProtection="1">
      <alignment horizontal="center" vertical="top"/>
      <protection locked="0"/>
    </xf>
    <xf numFmtId="0" fontId="12" fillId="2" borderId="1" xfId="0" applyFont="1" applyFill="1" applyBorder="1" applyAlignment="1">
      <alignment vertical="top"/>
    </xf>
    <xf numFmtId="0" fontId="0" fillId="4" borderId="0" xfId="0" applyFill="1" applyBorder="1" applyAlignment="1" applyProtection="1">
      <alignment horizontal="center" vertical="top"/>
      <protection locked="0"/>
    </xf>
    <xf numFmtId="165" fontId="0" fillId="2" borderId="1" xfId="1" applyNumberFormat="1" applyFont="1" applyFill="1" applyBorder="1" applyAlignment="1">
      <alignment horizontal="center"/>
    </xf>
    <xf numFmtId="43" fontId="0" fillId="0" borderId="0" xfId="0" applyNumberFormat="1"/>
    <xf numFmtId="165" fontId="4" fillId="3" borderId="5" xfId="1" applyNumberFormat="1" applyFont="1" applyFill="1" applyBorder="1" applyAlignment="1">
      <alignment horizontal="center"/>
    </xf>
    <xf numFmtId="0" fontId="1" fillId="3" borderId="24" xfId="0" applyFont="1" applyFill="1" applyBorder="1" applyAlignment="1"/>
    <xf numFmtId="0" fontId="1" fillId="3" borderId="47" xfId="0" applyFont="1" applyFill="1" applyBorder="1" applyAlignment="1">
      <alignment horizontal="center"/>
    </xf>
    <xf numFmtId="0" fontId="1" fillId="3" borderId="48" xfId="0" applyFont="1" applyFill="1" applyBorder="1" applyAlignment="1">
      <alignment horizontal="center"/>
    </xf>
    <xf numFmtId="164" fontId="1" fillId="3" borderId="7" xfId="0" applyNumberFormat="1" applyFont="1" applyFill="1" applyBorder="1" applyAlignment="1">
      <alignment horizontal="center" wrapText="1"/>
    </xf>
    <xf numFmtId="0" fontId="1" fillId="3" borderId="49" xfId="0" applyFont="1" applyFill="1" applyBorder="1" applyAlignment="1"/>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2" borderId="8" xfId="0" applyFill="1" applyBorder="1"/>
    <xf numFmtId="0" fontId="2" fillId="2" borderId="8" xfId="0" applyFont="1" applyFill="1" applyBorder="1"/>
    <xf numFmtId="0" fontId="2" fillId="2" borderId="9" xfId="0" applyFont="1" applyFill="1" applyBorder="1"/>
    <xf numFmtId="0" fontId="0" fillId="2" borderId="2"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51" xfId="0" applyFill="1" applyBorder="1" applyAlignment="1">
      <alignment horizontal="center"/>
    </xf>
    <xf numFmtId="0" fontId="1" fillId="3" borderId="0" xfId="0" applyFont="1" applyFill="1" applyBorder="1" applyAlignment="1">
      <alignment horizontal="left"/>
    </xf>
    <xf numFmtId="0" fontId="1" fillId="3" borderId="45" xfId="0" applyFont="1" applyFill="1" applyBorder="1" applyAlignment="1">
      <alignment horizontal="left"/>
    </xf>
    <xf numFmtId="0" fontId="0" fillId="2" borderId="0" xfId="0" applyFill="1" applyBorder="1" applyAlignment="1">
      <alignment horizontal="center"/>
    </xf>
    <xf numFmtId="0" fontId="1" fillId="3" borderId="45" xfId="0" applyFont="1" applyFill="1" applyBorder="1" applyAlignment="1">
      <alignment horizontal="center"/>
    </xf>
    <xf numFmtId="0" fontId="2" fillId="2" borderId="1" xfId="0" applyFont="1" applyFill="1" applyBorder="1" applyAlignment="1">
      <alignment horizontal="center"/>
    </xf>
    <xf numFmtId="0" fontId="2" fillId="2" borderId="51"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6" borderId="51" xfId="0" applyFill="1" applyBorder="1" applyAlignment="1">
      <alignment horizontal="center"/>
    </xf>
    <xf numFmtId="0" fontId="1" fillId="6" borderId="0" xfId="0" applyFont="1" applyFill="1" applyBorder="1" applyAlignment="1">
      <alignment horizontal="left"/>
    </xf>
    <xf numFmtId="0" fontId="1" fillId="6" borderId="45"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0" fontId="12" fillId="2" borderId="8" xfId="0" applyFont="1" applyFill="1" applyBorder="1" applyAlignment="1">
      <alignment horizontal="left" indent="2"/>
    </xf>
    <xf numFmtId="164"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5" fontId="2" fillId="2" borderId="51" xfId="1" applyNumberFormat="1" applyFont="1" applyFill="1" applyBorder="1" applyAlignment="1">
      <alignment horizontal="center"/>
    </xf>
    <xf numFmtId="165" fontId="0" fillId="2" borderId="51" xfId="1" applyNumberFormat="1" applyFont="1" applyFill="1" applyBorder="1" applyAlignment="1">
      <alignment horizontal="center"/>
    </xf>
    <xf numFmtId="0" fontId="6" fillId="0" borderId="0" xfId="0" applyFont="1" applyAlignment="1">
      <alignment horizontal="left" vertical="top" wrapText="1"/>
    </xf>
    <xf numFmtId="165" fontId="2" fillId="2" borderId="51" xfId="1" applyNumberFormat="1" applyFont="1" applyFill="1" applyBorder="1" applyAlignment="1">
      <alignment horizontal="right"/>
    </xf>
    <xf numFmtId="165" fontId="0" fillId="2" borderId="51" xfId="1" applyNumberFormat="1" applyFont="1" applyFill="1" applyBorder="1" applyAlignment="1">
      <alignment horizontal="right"/>
    </xf>
    <xf numFmtId="0" fontId="2" fillId="2" borderId="51" xfId="0" applyFont="1" applyFill="1" applyBorder="1" applyAlignment="1">
      <alignment horizontal="right"/>
    </xf>
    <xf numFmtId="0" fontId="2" fillId="2" borderId="1" xfId="0" applyFont="1" applyFill="1" applyBorder="1" applyAlignment="1">
      <alignment horizontal="right"/>
    </xf>
    <xf numFmtId="0" fontId="0" fillId="2" borderId="51"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 fillId="3" borderId="0" xfId="0" applyFont="1" applyFill="1" applyBorder="1" applyAlignment="1">
      <alignment horizontal="right"/>
    </xf>
    <xf numFmtId="0" fontId="1" fillId="3" borderId="45" xfId="0" applyFont="1" applyFill="1" applyBorder="1" applyAlignment="1">
      <alignment horizontal="right"/>
    </xf>
    <xf numFmtId="0" fontId="0" fillId="2" borderId="0" xfId="0" applyFill="1" applyBorder="1" applyAlignment="1">
      <alignment horizontal="right"/>
    </xf>
    <xf numFmtId="0" fontId="2" fillId="2" borderId="15" xfId="0" applyFont="1" applyFill="1" applyBorder="1" applyAlignment="1">
      <alignment horizontal="right"/>
    </xf>
    <xf numFmtId="0" fontId="1" fillId="3" borderId="46" xfId="0" applyFont="1" applyFill="1" applyBorder="1" applyAlignment="1">
      <alignment horizontal="right"/>
    </xf>
    <xf numFmtId="0" fontId="0" fillId="0" borderId="50" xfId="0" applyBorder="1" applyAlignment="1">
      <alignment horizontal="right"/>
    </xf>
    <xf numFmtId="0" fontId="2" fillId="2" borderId="7" xfId="0" applyFont="1" applyFill="1" applyBorder="1" applyAlignment="1">
      <alignment horizontal="right"/>
    </xf>
    <xf numFmtId="0" fontId="0" fillId="2" borderId="7" xfId="0" applyFill="1" applyBorder="1" applyAlignment="1">
      <alignment horizontal="right"/>
    </xf>
    <xf numFmtId="0" fontId="0" fillId="2" borderId="37" xfId="0" applyFill="1" applyBorder="1" applyAlignment="1">
      <alignment horizontal="right"/>
    </xf>
    <xf numFmtId="0" fontId="0" fillId="2" borderId="3" xfId="0" applyFill="1" applyBorder="1" applyAlignment="1">
      <alignment horizontal="right"/>
    </xf>
    <xf numFmtId="0" fontId="2" fillId="2" borderId="17" xfId="0" applyFont="1" applyFill="1" applyBorder="1"/>
    <xf numFmtId="0" fontId="2" fillId="6" borderId="17" xfId="0" applyFont="1" applyFill="1" applyBorder="1"/>
    <xf numFmtId="0" fontId="2" fillId="6" borderId="9" xfId="0" applyFont="1" applyFill="1" applyBorder="1"/>
    <xf numFmtId="9" fontId="0" fillId="2" borderId="37" xfId="0" applyNumberFormat="1" applyFill="1" applyBorder="1" applyAlignment="1">
      <alignment horizontal="left" vertical="top" wrapText="1"/>
    </xf>
    <xf numFmtId="0" fontId="0" fillId="2" borderId="52" xfId="0" applyFill="1" applyBorder="1" applyAlignment="1">
      <alignment horizontal="center"/>
    </xf>
    <xf numFmtId="0" fontId="0" fillId="6" borderId="23" xfId="0" applyFill="1" applyBorder="1" applyAlignment="1">
      <alignment horizontal="center"/>
    </xf>
    <xf numFmtId="0" fontId="2" fillId="2" borderId="23" xfId="0" applyFont="1" applyFill="1" applyBorder="1" applyAlignment="1">
      <alignment horizontal="center"/>
    </xf>
    <xf numFmtId="0" fontId="2" fillId="2" borderId="23" xfId="0" applyFont="1" applyFill="1" applyBorder="1" applyAlignment="1">
      <alignment horizontal="right"/>
    </xf>
    <xf numFmtId="0" fontId="2" fillId="2" borderId="21" xfId="0" applyFont="1" applyFill="1" applyBorder="1" applyAlignment="1">
      <alignment horizontal="right"/>
    </xf>
    <xf numFmtId="165" fontId="2" fillId="2" borderId="1" xfId="1" applyNumberFormat="1" applyFont="1" applyFill="1" applyBorder="1" applyAlignment="1">
      <alignment horizontal="right"/>
    </xf>
    <xf numFmtId="0" fontId="0" fillId="2" borderId="1" xfId="0" applyFont="1" applyFill="1" applyBorder="1" applyAlignment="1">
      <alignment horizontal="right"/>
    </xf>
    <xf numFmtId="0" fontId="0" fillId="2" borderId="8" xfId="0" applyFont="1" applyFill="1" applyBorder="1" applyAlignment="1">
      <alignment horizontal="left" vertical="top" indent="1"/>
    </xf>
    <xf numFmtId="0" fontId="0" fillId="2" borderId="53" xfId="0" applyFont="1" applyFill="1" applyBorder="1" applyAlignment="1">
      <alignment horizontal="left" vertical="top" indent="1"/>
    </xf>
    <xf numFmtId="0" fontId="0" fillId="2" borderId="13" xfId="0" applyFont="1" applyFill="1" applyBorder="1" applyAlignment="1">
      <alignment horizontal="left" vertical="top" indent="1"/>
    </xf>
    <xf numFmtId="0" fontId="0" fillId="2" borderId="14" xfId="0" applyFont="1" applyFill="1" applyBorder="1" applyAlignment="1">
      <alignment horizontal="left" vertical="top"/>
    </xf>
    <xf numFmtId="0" fontId="0" fillId="2" borderId="15" xfId="0" applyFont="1" applyFill="1" applyBorder="1" applyAlignment="1">
      <alignment horizontal="left" vertical="top"/>
    </xf>
    <xf numFmtId="0" fontId="12" fillId="2" borderId="20" xfId="0" applyFont="1" applyFill="1" applyBorder="1" applyAlignment="1">
      <alignment vertical="top"/>
    </xf>
    <xf numFmtId="0" fontId="0" fillId="2" borderId="1" xfId="0" applyFont="1" applyFill="1" applyBorder="1" applyAlignment="1">
      <alignment horizontal="left" vertical="top" indent="2"/>
    </xf>
    <xf numFmtId="0" fontId="12" fillId="2" borderId="22" xfId="0" applyFont="1" applyFill="1" applyBorder="1" applyAlignment="1">
      <alignment horizontal="left" vertical="top" indent="1"/>
    </xf>
    <xf numFmtId="0" fontId="0" fillId="2" borderId="21" xfId="0" applyFill="1" applyBorder="1" applyAlignment="1">
      <alignment horizontal="left" vertical="top" wrapText="1"/>
    </xf>
    <xf numFmtId="0" fontId="0" fillId="7" borderId="13" xfId="0" applyFont="1" applyFill="1" applyBorder="1" applyAlignment="1">
      <alignment horizontal="left" vertical="top" indent="1"/>
    </xf>
    <xf numFmtId="0" fontId="0" fillId="7" borderId="9" xfId="0" applyFont="1" applyFill="1" applyBorder="1" applyAlignment="1">
      <alignment horizontal="left" vertical="top" indent="1"/>
    </xf>
    <xf numFmtId="0" fontId="0" fillId="7" borderId="13" xfId="0" applyFill="1" applyBorder="1" applyAlignment="1">
      <alignment horizontal="left" vertical="top" indent="1"/>
    </xf>
    <xf numFmtId="0" fontId="0" fillId="7" borderId="8" xfId="0" applyFill="1" applyBorder="1" applyAlignment="1">
      <alignment horizontal="left" vertical="top" indent="1"/>
    </xf>
    <xf numFmtId="0" fontId="0" fillId="7" borderId="1" xfId="0" applyFont="1" applyFill="1" applyBorder="1" applyAlignment="1">
      <alignment horizontal="left" vertical="top" indent="2"/>
    </xf>
    <xf numFmtId="165" fontId="0" fillId="7" borderId="1" xfId="1" applyNumberFormat="1" applyFont="1" applyFill="1" applyBorder="1" applyAlignment="1">
      <alignment horizontal="center"/>
    </xf>
    <xf numFmtId="0" fontId="0" fillId="7" borderId="1" xfId="0" applyFill="1" applyBorder="1"/>
    <xf numFmtId="9" fontId="0" fillId="7" borderId="1" xfId="0" applyNumberFormat="1" applyFill="1" applyBorder="1" applyAlignment="1">
      <alignment horizontal="center" wrapText="1"/>
    </xf>
    <xf numFmtId="0" fontId="0" fillId="7" borderId="1" xfId="0" applyFill="1" applyBorder="1" applyAlignment="1">
      <alignment vertical="top" wrapText="1"/>
    </xf>
    <xf numFmtId="0" fontId="0" fillId="7" borderId="8" xfId="0" applyFill="1" applyBorder="1" applyAlignment="1">
      <alignment horizontal="left" indent="2"/>
    </xf>
    <xf numFmtId="164" fontId="0" fillId="7" borderId="1" xfId="0" applyNumberFormat="1" applyFill="1" applyBorder="1" applyAlignment="1">
      <alignment horizontal="center"/>
    </xf>
    <xf numFmtId="9" fontId="0" fillId="7" borderId="15" xfId="0" applyNumberFormat="1" applyFill="1" applyBorder="1" applyAlignment="1">
      <alignment horizontal="center" wrapText="1"/>
    </xf>
    <xf numFmtId="0" fontId="12" fillId="7" borderId="8" xfId="0" applyFont="1" applyFill="1" applyBorder="1" applyAlignment="1">
      <alignment horizontal="left" indent="2"/>
    </xf>
    <xf numFmtId="164" fontId="12" fillId="7" borderId="14" xfId="0" applyNumberFormat="1" applyFont="1" applyFill="1" applyBorder="1" applyAlignment="1">
      <alignment horizontal="center"/>
    </xf>
    <xf numFmtId="0" fontId="12" fillId="7" borderId="1" xfId="0" applyFont="1" applyFill="1" applyBorder="1"/>
    <xf numFmtId="9" fontId="12" fillId="7" borderId="15" xfId="0" applyNumberFormat="1" applyFont="1" applyFill="1" applyBorder="1" applyAlignment="1">
      <alignment horizontal="center" wrapText="1"/>
    </xf>
    <xf numFmtId="0" fontId="0" fillId="7" borderId="8" xfId="0" applyFont="1" applyFill="1" applyBorder="1" applyAlignment="1">
      <alignment horizontal="left" indent="2"/>
    </xf>
    <xf numFmtId="0" fontId="2" fillId="7" borderId="1" xfId="0" applyFont="1" applyFill="1" applyBorder="1"/>
    <xf numFmtId="0" fontId="0" fillId="7" borderId="13" xfId="0" applyFont="1" applyFill="1" applyBorder="1" applyAlignment="1">
      <alignment horizontal="left" indent="1"/>
    </xf>
    <xf numFmtId="0" fontId="0" fillId="7" borderId="8" xfId="0" applyFont="1" applyFill="1" applyBorder="1" applyAlignment="1">
      <alignment horizontal="left" indent="1"/>
    </xf>
    <xf numFmtId="0" fontId="0" fillId="7" borderId="22" xfId="0" applyFont="1" applyFill="1" applyBorder="1" applyAlignment="1">
      <alignment horizontal="left" indent="1"/>
    </xf>
    <xf numFmtId="0" fontId="0" fillId="7" borderId="1" xfId="0" applyFont="1" applyFill="1" applyBorder="1" applyAlignment="1">
      <alignment horizontal="left" indent="1"/>
    </xf>
    <xf numFmtId="0" fontId="0" fillId="7" borderId="8" xfId="0" applyFill="1" applyBorder="1" applyAlignment="1">
      <alignment horizontal="left" indent="1"/>
    </xf>
    <xf numFmtId="0" fontId="2" fillId="7" borderId="8" xfId="0" applyFont="1" applyFill="1" applyBorder="1" applyAlignment="1">
      <alignment horizontal="left" indent="1"/>
    </xf>
    <xf numFmtId="0" fontId="0" fillId="7" borderId="8" xfId="0" applyFont="1" applyFill="1" applyBorder="1"/>
    <xf numFmtId="0" fontId="2" fillId="4" borderId="14" xfId="0" applyFont="1" applyFill="1" applyBorder="1" applyAlignment="1" applyProtection="1">
      <alignment horizontal="center" vertical="top"/>
      <protection locked="0"/>
    </xf>
    <xf numFmtId="9" fontId="0" fillId="4" borderId="11" xfId="0" applyNumberForma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9" fontId="8" fillId="4" borderId="1" xfId="0" applyNumberFormat="1" applyFont="1" applyFill="1" applyBorder="1" applyAlignment="1" applyProtection="1">
      <alignment horizontal="center" vertical="top"/>
      <protection locked="0"/>
    </xf>
    <xf numFmtId="9" fontId="0" fillId="2" borderId="1" xfId="0" applyNumberFormat="1" applyFill="1" applyBorder="1" applyAlignment="1">
      <alignment horizontal="center" vertical="top"/>
    </xf>
    <xf numFmtId="0" fontId="0" fillId="8" borderId="14" xfId="0" applyFill="1" applyBorder="1" applyAlignment="1">
      <alignment horizontal="center"/>
    </xf>
    <xf numFmtId="0" fontId="0" fillId="8" borderId="51" xfId="0" applyFill="1" applyBorder="1" applyAlignment="1">
      <alignment horizontal="center"/>
    </xf>
    <xf numFmtId="0" fontId="2" fillId="8" borderId="51" xfId="0" applyFont="1" applyFill="1" applyBorder="1" applyAlignment="1">
      <alignment horizontal="center"/>
    </xf>
    <xf numFmtId="0" fontId="0" fillId="8" borderId="1" xfId="0" applyFill="1" applyBorder="1" applyAlignment="1">
      <alignment horizontal="center"/>
    </xf>
    <xf numFmtId="0" fontId="2" fillId="0" borderId="0" xfId="0" applyFont="1" applyAlignment="1">
      <alignment wrapText="1"/>
    </xf>
    <xf numFmtId="0" fontId="1" fillId="3" borderId="50" xfId="0" applyFont="1" applyFill="1" applyBorder="1" applyAlignment="1">
      <alignment horizontal="center"/>
    </xf>
    <xf numFmtId="165" fontId="2" fillId="2" borderId="20" xfId="1" applyNumberFormat="1" applyFont="1" applyFill="1" applyBorder="1" applyAlignment="1">
      <alignment horizontal="right"/>
    </xf>
    <xf numFmtId="0" fontId="2" fillId="2" borderId="38" xfId="0" applyFont="1" applyFill="1" applyBorder="1" applyAlignment="1">
      <alignment horizontal="left" indent="1"/>
    </xf>
    <xf numFmtId="0" fontId="0" fillId="2" borderId="39" xfId="0" applyFill="1" applyBorder="1" applyAlignment="1">
      <alignment horizontal="center"/>
    </xf>
    <xf numFmtId="0" fontId="0" fillId="6" borderId="45" xfId="0" applyFill="1" applyBorder="1" applyAlignment="1">
      <alignment horizontal="center"/>
    </xf>
    <xf numFmtId="0" fontId="0" fillId="2" borderId="45" xfId="0" applyFill="1" applyBorder="1" applyAlignment="1">
      <alignment horizontal="center"/>
    </xf>
    <xf numFmtId="0" fontId="1" fillId="3" borderId="46" xfId="0" applyFont="1" applyFill="1" applyBorder="1" applyAlignment="1">
      <alignment horizontal="center"/>
    </xf>
    <xf numFmtId="165" fontId="0" fillId="2" borderId="51" xfId="2" applyNumberFormat="1" applyFont="1" applyFill="1" applyBorder="1" applyAlignment="1">
      <alignment horizontal="right"/>
    </xf>
    <xf numFmtId="165" fontId="0" fillId="2" borderId="45" xfId="2" applyNumberFormat="1" applyFont="1" applyFill="1" applyBorder="1" applyAlignment="1">
      <alignment horizontal="right"/>
    </xf>
    <xf numFmtId="0" fontId="2" fillId="2" borderId="46" xfId="0" applyFont="1" applyFill="1" applyBorder="1" applyAlignment="1">
      <alignment horizontal="center"/>
    </xf>
    <xf numFmtId="0" fontId="2" fillId="2" borderId="27" xfId="0" applyFont="1" applyFill="1" applyBorder="1" applyAlignment="1">
      <alignment horizontal="left" vertical="top" indent="1"/>
    </xf>
    <xf numFmtId="0" fontId="2" fillId="4" borderId="27" xfId="0" applyFont="1" applyFill="1" applyBorder="1" applyAlignment="1" applyProtection="1">
      <alignment horizontal="center" vertical="top"/>
      <protection locked="0"/>
    </xf>
    <xf numFmtId="0" fontId="2" fillId="2" borderId="27" xfId="0" applyFont="1" applyFill="1" applyBorder="1" applyAlignment="1">
      <alignment vertical="top"/>
    </xf>
    <xf numFmtId="0" fontId="0" fillId="0" borderId="27" xfId="0" applyBorder="1" applyAlignment="1">
      <alignment wrapText="1"/>
    </xf>
    <xf numFmtId="0" fontId="12" fillId="2" borderId="27" xfId="0" applyFont="1" applyFill="1" applyBorder="1" applyAlignment="1">
      <alignment vertical="top"/>
    </xf>
    <xf numFmtId="0" fontId="2" fillId="0" borderId="27" xfId="0" applyFont="1" applyBorder="1" applyAlignment="1">
      <alignment wrapText="1"/>
    </xf>
    <xf numFmtId="0" fontId="2" fillId="2" borderId="27" xfId="0" applyFont="1" applyFill="1" applyBorder="1" applyAlignment="1">
      <alignment horizontal="left" indent="2"/>
    </xf>
    <xf numFmtId="0" fontId="2" fillId="3" borderId="27" xfId="0" applyFont="1" applyFill="1" applyBorder="1" applyAlignment="1">
      <alignment horizontal="right" indent="2"/>
    </xf>
    <xf numFmtId="0" fontId="0" fillId="3" borderId="27" xfId="0" applyFill="1" applyBorder="1"/>
    <xf numFmtId="0" fontId="4" fillId="3" borderId="27" xfId="0" applyFont="1" applyFill="1" applyBorder="1" applyAlignment="1">
      <alignment horizontal="right" indent="2"/>
    </xf>
    <xf numFmtId="164" fontId="4" fillId="3" borderId="27" xfId="0" applyNumberFormat="1" applyFont="1" applyFill="1" applyBorder="1" applyAlignment="1">
      <alignment horizontal="center"/>
    </xf>
    <xf numFmtId="164" fontId="0" fillId="3" borderId="27" xfId="0" applyNumberFormat="1" applyFill="1" applyBorder="1" applyAlignment="1">
      <alignment horizontal="center"/>
    </xf>
    <xf numFmtId="0" fontId="2" fillId="3" borderId="27" xfId="0" applyFont="1" applyFill="1" applyBorder="1"/>
    <xf numFmtId="0" fontId="11" fillId="5" borderId="42" xfId="0" applyFont="1" applyFill="1" applyBorder="1"/>
    <xf numFmtId="0" fontId="11" fillId="5" borderId="43" xfId="0" applyFont="1" applyFill="1" applyBorder="1"/>
    <xf numFmtId="0" fontId="2" fillId="2" borderId="55" xfId="0" applyFont="1" applyFill="1" applyBorder="1" applyAlignment="1">
      <alignment vertical="top"/>
    </xf>
    <xf numFmtId="0" fontId="2" fillId="4" borderId="34" xfId="0" applyFont="1" applyFill="1" applyBorder="1" applyAlignment="1" applyProtection="1">
      <alignment horizontal="center" vertical="top"/>
      <protection locked="0"/>
    </xf>
    <xf numFmtId="0" fontId="2" fillId="4" borderId="26" xfId="0" applyFont="1" applyFill="1" applyBorder="1" applyAlignment="1" applyProtection="1">
      <alignment horizontal="center" vertical="top"/>
      <protection locked="0"/>
    </xf>
    <xf numFmtId="0" fontId="0" fillId="6" borderId="14" xfId="0" applyFill="1" applyBorder="1" applyAlignment="1">
      <alignment horizontal="center" vertical="top"/>
    </xf>
    <xf numFmtId="0" fontId="8" fillId="2" borderId="16" xfId="0" applyFont="1" applyFill="1" applyBorder="1" applyAlignment="1">
      <alignment vertical="top" wrapText="1"/>
    </xf>
    <xf numFmtId="0" fontId="12" fillId="2" borderId="16" xfId="0" applyFont="1" applyFill="1" applyBorder="1" applyAlignment="1">
      <alignment vertical="top" wrapText="1"/>
    </xf>
    <xf numFmtId="0" fontId="2" fillId="4" borderId="27" xfId="0" applyFont="1" applyFill="1" applyBorder="1" applyAlignment="1"/>
    <xf numFmtId="0" fontId="1" fillId="3" borderId="4" xfId="0" applyFont="1" applyFill="1" applyBorder="1" applyAlignment="1">
      <alignment horizontal="right" indent="2"/>
    </xf>
    <xf numFmtId="0" fontId="2" fillId="2" borderId="14" xfId="0" applyFont="1" applyFill="1" applyBorder="1"/>
    <xf numFmtId="0" fontId="14" fillId="0" borderId="0" xfId="3" applyFont="1"/>
    <xf numFmtId="165" fontId="2" fillId="2" borderId="20" xfId="2" applyNumberFormat="1" applyFont="1" applyFill="1" applyBorder="1" applyAlignment="1">
      <alignment horizontal="right"/>
    </xf>
    <xf numFmtId="165" fontId="2" fillId="2" borderId="51" xfId="2" applyNumberFormat="1" applyFont="1" applyFill="1" applyBorder="1" applyAlignment="1">
      <alignment horizontal="right"/>
    </xf>
    <xf numFmtId="165" fontId="2" fillId="2" borderId="23" xfId="2" applyNumberFormat="1" applyFont="1" applyFill="1" applyBorder="1" applyAlignment="1">
      <alignment horizontal="right"/>
    </xf>
    <xf numFmtId="0" fontId="0" fillId="2" borderId="56" xfId="0" applyFont="1" applyFill="1" applyBorder="1" applyAlignment="1">
      <alignment horizontal="left" vertical="top" indent="2"/>
    </xf>
    <xf numFmtId="0" fontId="0" fillId="2" borderId="16" xfId="0" applyFill="1" applyBorder="1"/>
    <xf numFmtId="0" fontId="0" fillId="2" borderId="57" xfId="0" applyFill="1" applyBorder="1" applyAlignment="1">
      <alignment vertical="top" wrapText="1"/>
    </xf>
    <xf numFmtId="0" fontId="6" fillId="0" borderId="0" xfId="0" applyFont="1" applyAlignment="1">
      <alignment horizontal="left" vertical="top" wrapText="1"/>
    </xf>
    <xf numFmtId="0" fontId="8" fillId="2" borderId="12" xfId="0" applyFont="1" applyFill="1" applyBorder="1" applyAlignment="1">
      <alignment vertical="top" wrapText="1"/>
    </xf>
    <xf numFmtId="0" fontId="8" fillId="0" borderId="0" xfId="0" applyFont="1"/>
    <xf numFmtId="0" fontId="8" fillId="0" borderId="0" xfId="0" applyNumberFormat="1" applyFont="1"/>
    <xf numFmtId="0" fontId="15" fillId="5" borderId="0" xfId="0" applyFont="1" applyFill="1"/>
    <xf numFmtId="0" fontId="15" fillId="5" borderId="0" xfId="0" applyFont="1" applyFill="1" applyAlignment="1">
      <alignment horizontal="center"/>
    </xf>
    <xf numFmtId="0" fontId="15" fillId="5" borderId="0" xfId="0" applyFont="1" applyFill="1" applyAlignment="1">
      <alignment wrapText="1"/>
    </xf>
    <xf numFmtId="9" fontId="8" fillId="2" borderId="1" xfId="0" applyNumberFormat="1" applyFont="1" applyFill="1" applyBorder="1" applyAlignment="1">
      <alignment horizontal="center" wrapText="1"/>
    </xf>
    <xf numFmtId="0" fontId="13" fillId="0" borderId="0" xfId="3"/>
    <xf numFmtId="0" fontId="1" fillId="3" borderId="0" xfId="0" applyFont="1" applyFill="1" applyBorder="1" applyAlignment="1">
      <alignment horizontal="center"/>
    </xf>
    <xf numFmtId="0" fontId="8" fillId="2" borderId="14" xfId="0" applyFont="1" applyFill="1" applyBorder="1" applyAlignment="1">
      <alignment horizontal="center"/>
    </xf>
    <xf numFmtId="0" fontId="8" fillId="2" borderId="1" xfId="0" applyFont="1" applyFill="1" applyBorder="1" applyAlignment="1">
      <alignment horizontal="center"/>
    </xf>
    <xf numFmtId="0" fontId="2" fillId="2" borderId="3" xfId="0" applyFont="1" applyFill="1" applyBorder="1" applyAlignment="1">
      <alignment vertical="top" wrapText="1"/>
    </xf>
    <xf numFmtId="0" fontId="0" fillId="2" borderId="12" xfId="0" applyFill="1" applyBorder="1" applyAlignment="1">
      <alignment vertical="top" wrapText="1"/>
    </xf>
    <xf numFmtId="1" fontId="2" fillId="2" borderId="51" xfId="0" applyNumberFormat="1" applyFont="1" applyFill="1" applyBorder="1" applyAlignment="1">
      <alignment horizontal="right"/>
    </xf>
    <xf numFmtId="2" fontId="0" fillId="3" borderId="5" xfId="0" applyNumberFormat="1" applyFill="1" applyBorder="1" applyAlignment="1">
      <alignment horizontal="center"/>
    </xf>
    <xf numFmtId="9" fontId="0" fillId="4" borderId="2" xfId="0" applyNumberFormat="1" applyFill="1" applyBorder="1" applyAlignment="1" applyProtection="1">
      <alignment horizontal="center" vertical="top"/>
      <protection locked="0"/>
    </xf>
    <xf numFmtId="0" fontId="2" fillId="2" borderId="13" xfId="0" applyFont="1" applyFill="1" applyBorder="1" applyAlignment="1">
      <alignment horizontal="left" indent="1"/>
    </xf>
    <xf numFmtId="0" fontId="2" fillId="2" borderId="1" xfId="0" applyFont="1" applyFill="1" applyBorder="1" applyAlignment="1">
      <alignment horizontal="left" vertical="top" indent="2"/>
    </xf>
    <xf numFmtId="165" fontId="2" fillId="2" borderId="1" xfId="1" applyNumberFormat="1" applyFont="1" applyFill="1" applyBorder="1" applyAlignment="1">
      <alignment horizontal="center"/>
    </xf>
    <xf numFmtId="0" fontId="2" fillId="2" borderId="14" xfId="0" applyFont="1" applyFill="1" applyBorder="1" applyAlignment="1">
      <alignment vertical="top"/>
    </xf>
    <xf numFmtId="0" fontId="2" fillId="2" borderId="45" xfId="0" applyFont="1" applyFill="1" applyBorder="1" applyAlignment="1">
      <alignment horizontal="right"/>
    </xf>
    <xf numFmtId="0" fontId="2" fillId="2" borderId="58" xfId="0" applyFont="1" applyFill="1" applyBorder="1" applyAlignment="1">
      <alignment horizontal="left" vertical="top" indent="1"/>
    </xf>
    <xf numFmtId="0" fontId="0" fillId="2" borderId="0" xfId="0" applyFill="1" applyBorder="1" applyAlignment="1">
      <alignment vertical="top"/>
    </xf>
    <xf numFmtId="0" fontId="2" fillId="2" borderId="50" xfId="0" applyFont="1" applyFill="1" applyBorder="1" applyAlignment="1">
      <alignment vertical="top" wrapText="1"/>
    </xf>
    <xf numFmtId="0" fontId="2" fillId="2" borderId="38" xfId="0" applyFont="1" applyFill="1" applyBorder="1" applyAlignment="1">
      <alignment horizontal="left" indent="2"/>
    </xf>
    <xf numFmtId="164" fontId="0" fillId="2" borderId="39" xfId="0" applyNumberFormat="1" applyFill="1" applyBorder="1" applyAlignment="1">
      <alignment horizontal="center"/>
    </xf>
    <xf numFmtId="0" fontId="0" fillId="2" borderId="39" xfId="0" applyFill="1" applyBorder="1"/>
    <xf numFmtId="9" fontId="0" fillId="2" borderId="46" xfId="0" applyNumberFormat="1" applyFill="1" applyBorder="1" applyAlignment="1">
      <alignment horizontal="center" wrapText="1"/>
    </xf>
    <xf numFmtId="164" fontId="2" fillId="2" borderId="8" xfId="0" applyNumberFormat="1" applyFont="1" applyFill="1" applyBorder="1" applyAlignment="1">
      <alignment horizontal="center"/>
    </xf>
    <xf numFmtId="1" fontId="0" fillId="4" borderId="1" xfId="0" applyNumberFormat="1" applyFill="1" applyBorder="1" applyAlignment="1" applyProtection="1">
      <alignment horizontal="center" vertical="top"/>
      <protection locked="0"/>
    </xf>
    <xf numFmtId="0" fontId="6" fillId="0" borderId="0" xfId="0" applyFont="1" applyAlignment="1">
      <alignment horizontal="left" vertical="top" wrapText="1"/>
    </xf>
    <xf numFmtId="0" fontId="0" fillId="2" borderId="21" xfId="0" applyFill="1" applyBorder="1" applyAlignment="1">
      <alignment horizontal="left" vertical="top" wrapText="1"/>
    </xf>
    <xf numFmtId="0" fontId="4" fillId="3" borderId="41" xfId="0" applyFont="1" applyFill="1" applyBorder="1" applyAlignment="1">
      <alignment horizontal="left" vertical="top"/>
    </xf>
    <xf numFmtId="0" fontId="4" fillId="3" borderId="42" xfId="0" applyFont="1" applyFill="1" applyBorder="1" applyAlignment="1">
      <alignment horizontal="left" vertical="top"/>
    </xf>
    <xf numFmtId="0" fontId="4" fillId="3" borderId="43" xfId="0" applyFont="1" applyFill="1" applyBorder="1" applyAlignment="1">
      <alignment horizontal="left" vertical="top"/>
    </xf>
    <xf numFmtId="0" fontId="4" fillId="3" borderId="41" xfId="0" applyFont="1" applyFill="1" applyBorder="1" applyAlignment="1">
      <alignment horizontal="left" indent="2"/>
    </xf>
    <xf numFmtId="0" fontId="0" fillId="0" borderId="42" xfId="0" applyBorder="1" applyAlignment="1">
      <alignment horizontal="left" indent="2"/>
    </xf>
    <xf numFmtId="0" fontId="0" fillId="0" borderId="54" xfId="0" applyBorder="1" applyAlignment="1">
      <alignment horizontal="left" indent="2"/>
    </xf>
    <xf numFmtId="0" fontId="9" fillId="3" borderId="44" xfId="0" applyFont="1" applyFill="1" applyBorder="1" applyAlignment="1">
      <alignment horizontal="left" vertical="top" indent="1"/>
    </xf>
    <xf numFmtId="0" fontId="9" fillId="3" borderId="45" xfId="0" applyFont="1" applyFill="1" applyBorder="1" applyAlignment="1">
      <alignment horizontal="left" vertical="top" indent="1"/>
    </xf>
    <xf numFmtId="0" fontId="9" fillId="3" borderId="46" xfId="0" applyFont="1" applyFill="1" applyBorder="1" applyAlignment="1">
      <alignment horizontal="left" vertical="top" indent="1"/>
    </xf>
    <xf numFmtId="0" fontId="9" fillId="3" borderId="38" xfId="0" applyFont="1" applyFill="1" applyBorder="1" applyAlignment="1">
      <alignment horizontal="left" vertical="top" indent="1"/>
    </xf>
    <xf numFmtId="0" fontId="9" fillId="3" borderId="39" xfId="0" applyFont="1" applyFill="1" applyBorder="1" applyAlignment="1">
      <alignment horizontal="left" vertical="top" indent="1"/>
    </xf>
    <xf numFmtId="0" fontId="9" fillId="3" borderId="40" xfId="0" applyFont="1" applyFill="1" applyBorder="1" applyAlignment="1">
      <alignment horizontal="left" vertical="top" indent="1"/>
    </xf>
    <xf numFmtId="0" fontId="1" fillId="3" borderId="38" xfId="0" applyFont="1" applyFill="1" applyBorder="1" applyAlignment="1">
      <alignment horizontal="left" vertical="top" indent="1"/>
    </xf>
    <xf numFmtId="0" fontId="1" fillId="3" borderId="39" xfId="0" applyFont="1" applyFill="1" applyBorder="1" applyAlignment="1">
      <alignment horizontal="left" vertical="top" indent="1"/>
    </xf>
    <xf numFmtId="0" fontId="1" fillId="3" borderId="40" xfId="0" applyFont="1" applyFill="1" applyBorder="1" applyAlignment="1">
      <alignment horizontal="left" vertical="top" indent="1"/>
    </xf>
    <xf numFmtId="0" fontId="4" fillId="3" borderId="30"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9" fontId="0" fillId="2" borderId="37"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13" fillId="0" borderId="0" xfId="3" applyAlignment="1">
      <alignment horizontal="left" vertical="top" wrapTex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1" fillId="3" borderId="41" xfId="0" applyFont="1" applyFill="1" applyBorder="1" applyAlignment="1">
      <alignment horizontal="left" vertical="top" indent="1"/>
    </xf>
    <xf numFmtId="0" fontId="1" fillId="3" borderId="42" xfId="0" applyFont="1" applyFill="1" applyBorder="1" applyAlignment="1">
      <alignment horizontal="left" vertical="top" indent="1"/>
    </xf>
    <xf numFmtId="0" fontId="1" fillId="3" borderId="43" xfId="0" applyFont="1" applyFill="1" applyBorder="1" applyAlignment="1">
      <alignment horizontal="left" vertical="top" indent="1"/>
    </xf>
    <xf numFmtId="0" fontId="6" fillId="0" borderId="20" xfId="0" applyFont="1" applyBorder="1" applyAlignment="1">
      <alignment horizontal="left" vertical="top" wrapText="1"/>
    </xf>
    <xf numFmtId="0" fontId="6" fillId="0" borderId="39" xfId="0" applyFont="1" applyBorder="1" applyAlignment="1">
      <alignment horizontal="left" vertical="top" wrapText="1"/>
    </xf>
    <xf numFmtId="0" fontId="0" fillId="0" borderId="39" xfId="0" applyBorder="1" applyAlignment="1">
      <alignment horizontal="left" vertical="top" wrapText="1"/>
    </xf>
    <xf numFmtId="0" fontId="0" fillId="0" borderId="53" xfId="0" applyBorder="1" applyAlignment="1">
      <alignment horizontal="left" vertical="top" wrapText="1"/>
    </xf>
    <xf numFmtId="0" fontId="2" fillId="0" borderId="20" xfId="0" applyFont="1" applyBorder="1" applyAlignment="1">
      <alignment wrapText="1"/>
    </xf>
    <xf numFmtId="0" fontId="0" fillId="0" borderId="39" xfId="0" applyBorder="1" applyAlignment="1">
      <alignment wrapText="1"/>
    </xf>
    <xf numFmtId="0" fontId="0" fillId="0" borderId="53" xfId="0" applyBorder="1" applyAlignment="1">
      <alignment wrapText="1"/>
    </xf>
    <xf numFmtId="0" fontId="11" fillId="5" borderId="0" xfId="0" applyFont="1" applyFill="1" applyAlignment="1"/>
    <xf numFmtId="0" fontId="0" fillId="0" borderId="0" xfId="0" applyAlignment="1"/>
    <xf numFmtId="0" fontId="1" fillId="3" borderId="49" xfId="0" applyFont="1" applyFill="1" applyBorder="1" applyAlignment="1">
      <alignment horizontal="center"/>
    </xf>
    <xf numFmtId="0" fontId="1" fillId="3" borderId="24" xfId="0" applyFont="1" applyFill="1" applyBorder="1" applyAlignment="1">
      <alignment horizontal="center"/>
    </xf>
    <xf numFmtId="0" fontId="1" fillId="3" borderId="38" xfId="0" applyFont="1" applyFill="1" applyBorder="1" applyAlignment="1">
      <alignment horizontal="center"/>
    </xf>
    <xf numFmtId="0" fontId="1" fillId="3" borderId="39"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8" xfId="0" applyFont="1" applyFill="1" applyBorder="1" applyAlignment="1">
      <alignment horizontal="left"/>
    </xf>
    <xf numFmtId="0" fontId="1" fillId="3" borderId="39" xfId="0" applyFont="1" applyFill="1" applyBorder="1" applyAlignment="1">
      <alignment horizontal="left"/>
    </xf>
    <xf numFmtId="0" fontId="1" fillId="3" borderId="49" xfId="0" applyFont="1" applyFill="1" applyBorder="1" applyAlignment="1">
      <alignment horizontal="left"/>
    </xf>
    <xf numFmtId="0" fontId="1" fillId="3" borderId="24" xfId="0" applyFont="1" applyFill="1" applyBorder="1" applyAlignment="1">
      <alignment horizontal="left"/>
    </xf>
  </cellXfs>
  <cellStyles count="4">
    <cellStyle name="Comma" xfId="1" builtinId="3"/>
    <cellStyle name="Comma 2" xfId="2" xr:uid="{00000000-0005-0000-0000-000001000000}"/>
    <cellStyle name="Hyperlink" xfId="3" builtinId="8"/>
    <cellStyle name="Normal" xfId="0" builtinId="0"/>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kbps" TargetMode="External"/><Relationship Id="rId1" Type="http://schemas.openxmlformats.org/officeDocument/2006/relationships/hyperlink" Target="https://www.cisco.com/c/en/us/td/docs/voice_ip_comm/cust_contact/contact_center/icm_enterprise/icm_enterprise_12_0_1/Design/Guide/ucce_b_soldg-for-unified-cce-120/ucce_b_soldg-for-unified-cce-120_chapter_01100.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7"/>
  <sheetViews>
    <sheetView workbookViewId="0">
      <selection activeCell="A2" sqref="A2"/>
    </sheetView>
  </sheetViews>
  <sheetFormatPr defaultColWidth="8.85546875" defaultRowHeight="12.75" x14ac:dyDescent="0.2"/>
  <cols>
    <col min="1" max="1" width="109.7109375" customWidth="1"/>
  </cols>
  <sheetData>
    <row r="1" spans="1:2" ht="15.75" x14ac:dyDescent="0.2">
      <c r="A1" s="53" t="s">
        <v>73</v>
      </c>
    </row>
    <row r="2" spans="1:2" ht="13.5" thickBot="1" x14ac:dyDescent="0.25">
      <c r="A2" s="54" t="s">
        <v>254</v>
      </c>
    </row>
    <row r="3" spans="1:2" ht="13.5" thickBot="1" x14ac:dyDescent="0.25">
      <c r="A3" s="46"/>
    </row>
    <row r="4" spans="1:2" x14ac:dyDescent="0.2">
      <c r="A4" s="55" t="s">
        <v>65</v>
      </c>
    </row>
    <row r="5" spans="1:2" x14ac:dyDescent="0.2">
      <c r="A5" s="80" t="s">
        <v>119</v>
      </c>
    </row>
    <row r="6" spans="1:2" ht="25.5" customHeight="1" x14ac:dyDescent="0.2">
      <c r="A6" s="80" t="s">
        <v>120</v>
      </c>
    </row>
    <row r="7" spans="1:2" ht="38.25" customHeight="1" x14ac:dyDescent="0.2">
      <c r="A7" s="80" t="s">
        <v>121</v>
      </c>
    </row>
    <row r="8" spans="1:2" ht="13.5" thickBot="1" x14ac:dyDescent="0.25">
      <c r="A8" s="48"/>
    </row>
    <row r="9" spans="1:2" x14ac:dyDescent="0.2">
      <c r="A9" s="76" t="s">
        <v>64</v>
      </c>
    </row>
    <row r="10" spans="1:2" ht="38.25" x14ac:dyDescent="0.2">
      <c r="A10" s="77" t="s">
        <v>122</v>
      </c>
    </row>
    <row r="11" spans="1:2" ht="23.25" customHeight="1" x14ac:dyDescent="0.2">
      <c r="A11" s="77" t="s">
        <v>123</v>
      </c>
    </row>
    <row r="12" spans="1:2" ht="25.5" x14ac:dyDescent="0.2">
      <c r="A12" s="77" t="s">
        <v>151</v>
      </c>
    </row>
    <row r="13" spans="1:2" ht="25.5" x14ac:dyDescent="0.2">
      <c r="A13" s="77" t="s">
        <v>152</v>
      </c>
    </row>
    <row r="14" spans="1:2" ht="26.25" thickBot="1" x14ac:dyDescent="0.25">
      <c r="A14" s="78" t="s">
        <v>124</v>
      </c>
    </row>
    <row r="15" spans="1:2" x14ac:dyDescent="0.2">
      <c r="A15" s="47"/>
    </row>
    <row r="16" spans="1:2" ht="68.25" customHeight="1" x14ac:dyDescent="0.2">
      <c r="A16" s="302" t="s">
        <v>128</v>
      </c>
      <c r="B16" s="302"/>
    </row>
    <row r="17" spans="1:1" x14ac:dyDescent="0.2">
      <c r="A17" s="47"/>
    </row>
  </sheetData>
  <mergeCells count="1">
    <mergeCell ref="A16: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93E33-0F53-184A-8B10-F287091E19AF}">
  <sheetPr codeName="Sheet2"/>
  <dimension ref="A1"/>
  <sheetViews>
    <sheetView workbookViewId="0"/>
  </sheetViews>
  <sheetFormatPr defaultColWidth="11.4257812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14"/>
  <sheetViews>
    <sheetView tabSelected="1" topLeftCell="A172" zoomScale="151" zoomScaleNormal="151" zoomScalePageLayoutView="130" workbookViewId="0">
      <selection activeCell="B178" sqref="B178"/>
    </sheetView>
  </sheetViews>
  <sheetFormatPr defaultColWidth="8.85546875" defaultRowHeight="12.75" x14ac:dyDescent="0.2"/>
  <cols>
    <col min="1" max="1" width="75.28515625" bestFit="1" customWidth="1"/>
    <col min="2" max="2" width="15.7109375" style="3" customWidth="1"/>
    <col min="3" max="3" width="21.42578125" bestFit="1" customWidth="1"/>
    <col min="4" max="4" width="60.7109375" style="7" customWidth="1"/>
  </cols>
  <sheetData>
    <row r="1" spans="1:4" ht="15.95" customHeight="1" x14ac:dyDescent="0.25">
      <c r="A1" s="58" t="s">
        <v>73</v>
      </c>
      <c r="B1" s="59"/>
      <c r="C1" s="60"/>
      <c r="D1" s="61"/>
    </row>
    <row r="2" spans="1:4" ht="15.95" customHeight="1" thickBot="1" x14ac:dyDescent="0.3">
      <c r="A2" s="62" t="s">
        <v>293</v>
      </c>
      <c r="B2" s="63"/>
      <c r="C2" s="64"/>
      <c r="D2" s="65"/>
    </row>
    <row r="3" spans="1:4" ht="12.75" customHeight="1" thickBot="1" x14ac:dyDescent="0.25"/>
    <row r="4" spans="1:4" ht="12.75" customHeight="1" thickBot="1" x14ac:dyDescent="0.25">
      <c r="A4" s="261" t="s">
        <v>246</v>
      </c>
      <c r="B4" s="56"/>
      <c r="C4" s="56"/>
    </row>
    <row r="5" spans="1:4" ht="12.75" hidden="1" customHeight="1" x14ac:dyDescent="0.2"/>
    <row r="6" spans="1:4" ht="13.5" thickBot="1" x14ac:dyDescent="0.25"/>
    <row r="7" spans="1:4" ht="15.95" customHeight="1" thickBot="1" x14ac:dyDescent="0.25">
      <c r="A7" s="12" t="s">
        <v>46</v>
      </c>
      <c r="B7" s="13" t="s">
        <v>10</v>
      </c>
      <c r="C7" s="13" t="s">
        <v>11</v>
      </c>
      <c r="D7" s="14" t="s">
        <v>9</v>
      </c>
    </row>
    <row r="8" spans="1:4" ht="15.95" customHeight="1" thickBot="1" x14ac:dyDescent="0.25">
      <c r="A8" s="304" t="s">
        <v>1</v>
      </c>
      <c r="B8" s="305"/>
      <c r="C8" s="305"/>
      <c r="D8" s="319"/>
    </row>
    <row r="9" spans="1:4" ht="12.75" customHeight="1" x14ac:dyDescent="0.2">
      <c r="A9" s="187" t="s">
        <v>195</v>
      </c>
      <c r="B9" s="66">
        <v>1800</v>
      </c>
      <c r="C9" s="27" t="s">
        <v>23</v>
      </c>
      <c r="D9" s="100" t="s">
        <v>70</v>
      </c>
    </row>
    <row r="10" spans="1:4" ht="12.75" customHeight="1" x14ac:dyDescent="0.2">
      <c r="A10" s="16" t="s">
        <v>30</v>
      </c>
      <c r="B10" s="67">
        <v>200</v>
      </c>
      <c r="C10" s="9" t="s">
        <v>31</v>
      </c>
      <c r="D10" s="100" t="s">
        <v>34</v>
      </c>
    </row>
    <row r="11" spans="1:4" ht="12.75" hidden="1" customHeight="1" thickBot="1" x14ac:dyDescent="0.25">
      <c r="A11" s="105" t="s">
        <v>71</v>
      </c>
      <c r="B11" s="106"/>
      <c r="C11" s="107" t="s">
        <v>32</v>
      </c>
      <c r="D11" s="259" t="s">
        <v>33</v>
      </c>
    </row>
    <row r="12" spans="1:4" ht="12.75" customHeight="1" x14ac:dyDescent="0.2">
      <c r="A12" s="192" t="s">
        <v>196</v>
      </c>
      <c r="B12" s="106"/>
      <c r="C12" s="27" t="s">
        <v>23</v>
      </c>
      <c r="D12" s="259"/>
    </row>
    <row r="13" spans="1:4" ht="12.75" customHeight="1" x14ac:dyDescent="0.2">
      <c r="A13" s="192" t="s">
        <v>245</v>
      </c>
      <c r="B13" s="67">
        <f>B9-B12</f>
        <v>1800</v>
      </c>
      <c r="C13" s="27" t="s">
        <v>199</v>
      </c>
      <c r="D13" s="259"/>
    </row>
    <row r="14" spans="1:4" ht="12.75" customHeight="1" x14ac:dyDescent="0.2">
      <c r="A14" s="192" t="s">
        <v>197</v>
      </c>
      <c r="B14" s="106"/>
      <c r="C14" s="9" t="s">
        <v>31</v>
      </c>
      <c r="D14" s="259"/>
    </row>
    <row r="15" spans="1:4" ht="12.75" customHeight="1" x14ac:dyDescent="0.2">
      <c r="A15" s="192" t="s">
        <v>198</v>
      </c>
      <c r="B15" s="258">
        <f>B10-B14</f>
        <v>200</v>
      </c>
      <c r="C15" s="9" t="s">
        <v>31</v>
      </c>
      <c r="D15" s="259"/>
    </row>
    <row r="16" spans="1:4" ht="12.75" customHeight="1" x14ac:dyDescent="0.2">
      <c r="A16" s="185" t="s">
        <v>170</v>
      </c>
      <c r="B16" s="106"/>
      <c r="C16" s="9" t="s">
        <v>23</v>
      </c>
      <c r="D16" s="260"/>
    </row>
    <row r="17" spans="1:8" ht="12.75" customHeight="1" x14ac:dyDescent="0.2">
      <c r="A17" s="186" t="s">
        <v>171</v>
      </c>
      <c r="B17" s="106"/>
      <c r="C17" s="9" t="s">
        <v>172</v>
      </c>
      <c r="D17" s="127"/>
    </row>
    <row r="18" spans="1:8" ht="73.5" customHeight="1" x14ac:dyDescent="0.2">
      <c r="A18" s="108" t="s">
        <v>118</v>
      </c>
      <c r="B18" s="109">
        <v>5</v>
      </c>
      <c r="C18" s="110" t="s">
        <v>117</v>
      </c>
      <c r="D18" s="127" t="s">
        <v>126</v>
      </c>
    </row>
    <row r="19" spans="1:8" ht="15.95" customHeight="1" thickBot="1" x14ac:dyDescent="0.25">
      <c r="A19" s="320" t="s">
        <v>20</v>
      </c>
      <c r="B19" s="321"/>
      <c r="C19" s="321"/>
      <c r="D19" s="322"/>
      <c r="F19" s="279">
        <f>1*kbps</f>
        <v>8.0000000000000002E-3</v>
      </c>
    </row>
    <row r="20" spans="1:8" ht="12.75" customHeight="1" x14ac:dyDescent="0.2">
      <c r="A20" s="28" t="s">
        <v>53</v>
      </c>
      <c r="B20" s="219">
        <v>60000</v>
      </c>
      <c r="C20" s="37" t="s">
        <v>54</v>
      </c>
      <c r="D20" s="38" t="s">
        <v>67</v>
      </c>
    </row>
    <row r="21" spans="1:8" ht="12.75" customHeight="1" x14ac:dyDescent="0.2">
      <c r="A21" s="28" t="s">
        <v>55</v>
      </c>
      <c r="B21" s="68">
        <v>30</v>
      </c>
      <c r="C21" s="37" t="s">
        <v>24</v>
      </c>
      <c r="D21" s="38"/>
    </row>
    <row r="22" spans="1:8" ht="12.75" customHeight="1" x14ac:dyDescent="0.2">
      <c r="A22" s="28" t="s">
        <v>43</v>
      </c>
      <c r="B22" s="36">
        <f>IF(B20&gt;0,(3600*B9)/B20,0)</f>
        <v>108</v>
      </c>
      <c r="C22" s="27" t="s">
        <v>24</v>
      </c>
      <c r="D22" s="29"/>
    </row>
    <row r="23" spans="1:8" ht="12.75" customHeight="1" thickBot="1" x14ac:dyDescent="0.25">
      <c r="A23" s="17" t="s">
        <v>56</v>
      </c>
      <c r="B23" s="45">
        <f>IF((B21+B22)&gt;0,B9/(B21+B22),0)</f>
        <v>13.043478260869565</v>
      </c>
      <c r="C23" s="10" t="s">
        <v>44</v>
      </c>
      <c r="D23" s="34" t="s">
        <v>51</v>
      </c>
      <c r="F23">
        <v>120</v>
      </c>
    </row>
    <row r="24" spans="1:8" ht="15.95" customHeight="1" thickBot="1" x14ac:dyDescent="0.25">
      <c r="A24" s="320" t="s">
        <v>173</v>
      </c>
      <c r="B24" s="321"/>
      <c r="C24" s="321"/>
      <c r="D24" s="322"/>
      <c r="F24">
        <f>54000/3600</f>
        <v>15</v>
      </c>
    </row>
    <row r="25" spans="1:8" ht="12.75" customHeight="1" x14ac:dyDescent="0.2">
      <c r="A25" s="194" t="s">
        <v>174</v>
      </c>
      <c r="B25" s="68"/>
      <c r="C25" s="188" t="s">
        <v>175</v>
      </c>
      <c r="D25" s="189" t="s">
        <v>176</v>
      </c>
    </row>
    <row r="26" spans="1:8" ht="12.75" customHeight="1" x14ac:dyDescent="0.2">
      <c r="A26" s="194" t="s">
        <v>177</v>
      </c>
      <c r="B26" s="68">
        <v>0</v>
      </c>
      <c r="C26" s="37" t="s">
        <v>24</v>
      </c>
      <c r="D26" s="38"/>
    </row>
    <row r="27" spans="1:8" ht="12.75" customHeight="1" x14ac:dyDescent="0.2">
      <c r="A27" s="194" t="s">
        <v>178</v>
      </c>
      <c r="B27" s="36">
        <v>1800</v>
      </c>
      <c r="C27" s="27" t="s">
        <v>24</v>
      </c>
      <c r="D27" s="29"/>
    </row>
    <row r="28" spans="1:8" ht="12.75" customHeight="1" thickBot="1" x14ac:dyDescent="0.25">
      <c r="A28" s="195" t="s">
        <v>179</v>
      </c>
      <c r="B28" s="45">
        <f>IF((B26+B27)&gt;0,B18/(B26+B27),0)</f>
        <v>2.7777777777777779E-3</v>
      </c>
      <c r="C28" s="10" t="s">
        <v>44</v>
      </c>
      <c r="D28" s="34" t="s">
        <v>180</v>
      </c>
    </row>
    <row r="29" spans="1:8" ht="15.95" customHeight="1" thickBot="1" x14ac:dyDescent="0.25">
      <c r="A29" s="304" t="s">
        <v>39</v>
      </c>
      <c r="B29" s="305"/>
      <c r="C29" s="305"/>
      <c r="D29" s="306"/>
      <c r="G29" s="74"/>
      <c r="H29" s="74"/>
    </row>
    <row r="30" spans="1:8" ht="12.75" customHeight="1" x14ac:dyDescent="0.2">
      <c r="A30" s="26" t="s">
        <v>2</v>
      </c>
      <c r="B30" s="221">
        <v>0.3</v>
      </c>
      <c r="C30" s="27" t="s">
        <v>35</v>
      </c>
      <c r="D30" s="303" t="s">
        <v>36</v>
      </c>
      <c r="G30" s="74"/>
      <c r="H30" s="74"/>
    </row>
    <row r="31" spans="1:8" ht="12.75" customHeight="1" x14ac:dyDescent="0.2">
      <c r="A31" s="19" t="s">
        <v>3</v>
      </c>
      <c r="B31" s="222">
        <v>0.3</v>
      </c>
      <c r="C31" s="9" t="s">
        <v>35</v>
      </c>
      <c r="D31" s="303"/>
      <c r="G31" s="74"/>
      <c r="H31" s="74"/>
    </row>
    <row r="32" spans="1:8" ht="12.75" hidden="1" customHeight="1" x14ac:dyDescent="0.2">
      <c r="A32" s="81" t="s">
        <v>72</v>
      </c>
      <c r="B32" s="223">
        <v>0</v>
      </c>
      <c r="C32" s="82" t="s">
        <v>35</v>
      </c>
      <c r="D32" s="323" t="s">
        <v>37</v>
      </c>
      <c r="G32" s="74"/>
      <c r="H32" s="74"/>
    </row>
    <row r="33" spans="1:8" ht="12.75" customHeight="1" x14ac:dyDescent="0.2">
      <c r="A33" s="19" t="s">
        <v>4</v>
      </c>
      <c r="B33" s="222">
        <v>0.1</v>
      </c>
      <c r="C33" s="35" t="s">
        <v>35</v>
      </c>
      <c r="D33" s="324"/>
      <c r="G33" s="74"/>
      <c r="H33" s="74"/>
    </row>
    <row r="34" spans="1:8" ht="12.75" customHeight="1" x14ac:dyDescent="0.2">
      <c r="A34" s="16" t="s">
        <v>145</v>
      </c>
      <c r="B34" s="222">
        <v>0.2</v>
      </c>
      <c r="C34" s="35" t="s">
        <v>35</v>
      </c>
      <c r="D34" s="129"/>
      <c r="G34" s="74"/>
      <c r="H34" s="74"/>
    </row>
    <row r="35" spans="1:8" ht="12.75" customHeight="1" x14ac:dyDescent="0.2">
      <c r="A35" s="19" t="s">
        <v>5</v>
      </c>
      <c r="B35" s="222">
        <v>0.1</v>
      </c>
      <c r="C35" s="9" t="s">
        <v>35</v>
      </c>
      <c r="D35" s="29" t="s">
        <v>38</v>
      </c>
      <c r="G35" s="74"/>
      <c r="H35" s="74"/>
    </row>
    <row r="36" spans="1:8" ht="12.75" customHeight="1" x14ac:dyDescent="0.2">
      <c r="A36" s="101" t="s">
        <v>6</v>
      </c>
      <c r="B36" s="224">
        <v>0.99999999999999989</v>
      </c>
      <c r="C36" s="9" t="s">
        <v>35</v>
      </c>
      <c r="D36" s="100" t="s">
        <v>40</v>
      </c>
      <c r="G36" s="74"/>
      <c r="H36" s="74"/>
    </row>
    <row r="37" spans="1:8" ht="12.75" customHeight="1" x14ac:dyDescent="0.2">
      <c r="A37" s="28" t="s">
        <v>110</v>
      </c>
      <c r="B37" s="221">
        <v>0.1</v>
      </c>
      <c r="C37" s="27" t="s">
        <v>35</v>
      </c>
      <c r="D37" s="29"/>
      <c r="G37" s="74"/>
      <c r="H37" s="74"/>
    </row>
    <row r="38" spans="1:8" ht="12.75" customHeight="1" x14ac:dyDescent="0.2">
      <c r="A38" s="28" t="s">
        <v>143</v>
      </c>
      <c r="B38" s="221">
        <v>0.05</v>
      </c>
      <c r="C38" s="27" t="s">
        <v>35</v>
      </c>
      <c r="D38" s="140" t="s">
        <v>147</v>
      </c>
      <c r="G38" s="74"/>
      <c r="H38" s="74"/>
    </row>
    <row r="39" spans="1:8" ht="12.75" customHeight="1" thickBot="1" x14ac:dyDescent="0.25">
      <c r="A39" s="28" t="s">
        <v>144</v>
      </c>
      <c r="B39" s="221">
        <v>0.05</v>
      </c>
      <c r="C39" s="27" t="s">
        <v>35</v>
      </c>
      <c r="D39" s="140" t="s">
        <v>148</v>
      </c>
      <c r="G39" s="74"/>
      <c r="H39" s="74"/>
    </row>
    <row r="40" spans="1:8" ht="17.100000000000001" customHeight="1" thickBot="1" x14ac:dyDescent="0.25">
      <c r="A40" s="304" t="s">
        <v>181</v>
      </c>
      <c r="B40" s="305"/>
      <c r="C40" s="305"/>
      <c r="D40" s="306"/>
      <c r="G40" s="74"/>
      <c r="H40" s="74"/>
    </row>
    <row r="41" spans="1:8" ht="12.75" customHeight="1" x14ac:dyDescent="0.2">
      <c r="A41" s="196" t="s">
        <v>182</v>
      </c>
      <c r="B41" s="69">
        <v>0.2</v>
      </c>
      <c r="C41" s="27" t="s">
        <v>35</v>
      </c>
      <c r="D41" s="303" t="s">
        <v>184</v>
      </c>
      <c r="G41" s="74"/>
      <c r="H41" s="74"/>
    </row>
    <row r="42" spans="1:8" ht="12.75" customHeight="1" x14ac:dyDescent="0.2">
      <c r="A42" s="197" t="s">
        <v>183</v>
      </c>
      <c r="B42" s="70">
        <v>0.28999999999999998</v>
      </c>
      <c r="C42" s="9" t="s">
        <v>35</v>
      </c>
      <c r="D42" s="303"/>
      <c r="G42" s="74"/>
      <c r="H42" s="74"/>
    </row>
    <row r="43" spans="1:8" ht="12.75" customHeight="1" x14ac:dyDescent="0.2">
      <c r="A43" s="197" t="s">
        <v>204</v>
      </c>
      <c r="B43" s="70">
        <v>0.2</v>
      </c>
      <c r="C43" s="35"/>
      <c r="D43" s="193"/>
      <c r="G43" s="74"/>
      <c r="H43" s="74"/>
    </row>
    <row r="44" spans="1:8" ht="12.75" customHeight="1" x14ac:dyDescent="0.2">
      <c r="A44" s="197" t="s">
        <v>186</v>
      </c>
      <c r="B44" s="222">
        <v>0.31</v>
      </c>
      <c r="C44" s="190" t="s">
        <v>35</v>
      </c>
      <c r="D44" s="177"/>
      <c r="G44" s="74"/>
      <c r="H44" s="74"/>
    </row>
    <row r="45" spans="1:8" ht="12.75" customHeight="1" thickBot="1" x14ac:dyDescent="0.25">
      <c r="A45" s="101" t="s">
        <v>6</v>
      </c>
      <c r="B45" s="99">
        <f>SUM(B41:B44)</f>
        <v>1</v>
      </c>
      <c r="C45" s="9" t="s">
        <v>35</v>
      </c>
      <c r="D45" s="100" t="s">
        <v>185</v>
      </c>
      <c r="G45" s="74"/>
      <c r="H45" s="74"/>
    </row>
    <row r="46" spans="1:8" ht="15.95" customHeight="1" thickBot="1" x14ac:dyDescent="0.25">
      <c r="A46" s="304" t="s">
        <v>74</v>
      </c>
      <c r="B46" s="305"/>
      <c r="C46" s="305"/>
      <c r="D46" s="306"/>
      <c r="G46" s="74"/>
      <c r="H46" s="74"/>
    </row>
    <row r="47" spans="1:8" ht="12.75" hidden="1" customHeight="1" x14ac:dyDescent="0.2">
      <c r="A47" s="93" t="s">
        <v>84</v>
      </c>
      <c r="B47" s="94">
        <v>5</v>
      </c>
      <c r="C47" s="95" t="s">
        <v>8</v>
      </c>
      <c r="D47" s="96" t="s">
        <v>49</v>
      </c>
      <c r="G47" s="74"/>
      <c r="H47" s="74"/>
    </row>
    <row r="48" spans="1:8" ht="12.75" customHeight="1" thickBot="1" x14ac:dyDescent="0.25">
      <c r="A48" s="24" t="s">
        <v>68</v>
      </c>
      <c r="B48" s="220">
        <v>1</v>
      </c>
      <c r="C48" s="25" t="s">
        <v>8</v>
      </c>
      <c r="D48" s="97" t="s">
        <v>115</v>
      </c>
      <c r="G48" s="74"/>
      <c r="H48" s="74"/>
    </row>
    <row r="49" spans="1:8" ht="12.75" hidden="1" customHeight="1" x14ac:dyDescent="0.2">
      <c r="A49" s="310" t="s">
        <v>79</v>
      </c>
      <c r="B49" s="311"/>
      <c r="C49" s="311"/>
      <c r="D49" s="312"/>
      <c r="G49" s="74"/>
      <c r="H49" s="74"/>
    </row>
    <row r="50" spans="1:8" ht="12.75" hidden="1" customHeight="1" x14ac:dyDescent="0.2">
      <c r="A50" s="83" t="s">
        <v>75</v>
      </c>
      <c r="B50" s="84">
        <v>17</v>
      </c>
      <c r="C50" s="85" t="s">
        <v>25</v>
      </c>
      <c r="D50" s="86" t="s">
        <v>66</v>
      </c>
      <c r="G50" s="74"/>
      <c r="H50" s="74"/>
    </row>
    <row r="51" spans="1:8" ht="12.75" hidden="1" customHeight="1" x14ac:dyDescent="0.2">
      <c r="A51" s="83" t="s">
        <v>76</v>
      </c>
      <c r="B51" s="84">
        <v>10</v>
      </c>
      <c r="C51" s="85" t="s">
        <v>24</v>
      </c>
      <c r="D51" s="87" t="s">
        <v>41</v>
      </c>
      <c r="G51" s="74"/>
      <c r="H51" s="74"/>
    </row>
    <row r="52" spans="1:8" ht="12.75" hidden="1" customHeight="1" x14ac:dyDescent="0.2">
      <c r="A52" s="313" t="s">
        <v>80</v>
      </c>
      <c r="B52" s="314"/>
      <c r="C52" s="314"/>
      <c r="D52" s="315"/>
      <c r="G52" s="74"/>
      <c r="H52" s="74"/>
    </row>
    <row r="53" spans="1:8" ht="12.75" hidden="1" customHeight="1" x14ac:dyDescent="0.2">
      <c r="A53" s="83" t="s">
        <v>77</v>
      </c>
      <c r="B53" s="84">
        <v>6</v>
      </c>
      <c r="C53" s="85" t="s">
        <v>25</v>
      </c>
      <c r="D53" s="86" t="s">
        <v>29</v>
      </c>
      <c r="G53" s="74"/>
      <c r="H53" s="74"/>
    </row>
    <row r="54" spans="1:8" ht="12.75" hidden="1" customHeight="1" x14ac:dyDescent="0.2">
      <c r="A54" s="83" t="s">
        <v>78</v>
      </c>
      <c r="B54" s="84" t="e">
        <f>Average_Call_Duration_v801</f>
        <v>#NAME?</v>
      </c>
      <c r="C54" s="85" t="s">
        <v>24</v>
      </c>
      <c r="D54" s="86" t="s">
        <v>45</v>
      </c>
      <c r="G54" s="74"/>
      <c r="H54" s="74"/>
    </row>
    <row r="55" spans="1:8" ht="12.75" customHeight="1" thickBot="1" x14ac:dyDescent="0.25">
      <c r="A55" s="24" t="s">
        <v>149</v>
      </c>
      <c r="B55" s="71">
        <v>3000</v>
      </c>
      <c r="C55" s="25" t="s">
        <v>8</v>
      </c>
      <c r="D55" s="97"/>
      <c r="G55" s="74"/>
      <c r="H55" s="74"/>
    </row>
    <row r="56" spans="1:8" ht="12.75" customHeight="1" x14ac:dyDescent="0.2">
      <c r="A56" s="293" t="s">
        <v>301</v>
      </c>
      <c r="B56" s="111">
        <v>1</v>
      </c>
      <c r="C56" s="294"/>
      <c r="D56" s="295"/>
      <c r="G56" s="74"/>
      <c r="H56" s="74"/>
    </row>
    <row r="57" spans="1:8" ht="12.75" customHeight="1" x14ac:dyDescent="0.2">
      <c r="A57" s="316" t="s">
        <v>21</v>
      </c>
      <c r="B57" s="317"/>
      <c r="C57" s="317"/>
      <c r="D57" s="318"/>
      <c r="G57" s="74"/>
      <c r="H57" s="74"/>
    </row>
    <row r="58" spans="1:8" ht="12.75" customHeight="1" x14ac:dyDescent="0.2">
      <c r="A58" s="22" t="s">
        <v>19</v>
      </c>
      <c r="B58" s="67">
        <v>1</v>
      </c>
      <c r="C58" s="20" t="s">
        <v>12</v>
      </c>
      <c r="D58" s="15" t="s">
        <v>47</v>
      </c>
      <c r="G58" s="74"/>
      <c r="H58" s="74"/>
    </row>
    <row r="59" spans="1:8" ht="12.75" customHeight="1" x14ac:dyDescent="0.2">
      <c r="A59" s="22" t="s">
        <v>48</v>
      </c>
      <c r="B59" s="67">
        <v>640</v>
      </c>
      <c r="C59" s="20" t="s">
        <v>13</v>
      </c>
      <c r="D59" s="15" t="s">
        <v>50</v>
      </c>
      <c r="G59" s="74"/>
      <c r="H59" s="74"/>
    </row>
    <row r="60" spans="1:8" ht="12.75" customHeight="1" x14ac:dyDescent="0.2">
      <c r="A60" s="22" t="s">
        <v>57</v>
      </c>
      <c r="B60" s="67">
        <v>1970</v>
      </c>
      <c r="C60" s="20" t="s">
        <v>13</v>
      </c>
      <c r="D60" s="15" t="s">
        <v>52</v>
      </c>
      <c r="G60" s="74"/>
      <c r="H60" s="74"/>
    </row>
    <row r="61" spans="1:8" ht="12.75" customHeight="1" x14ac:dyDescent="0.2">
      <c r="A61" s="316" t="s">
        <v>22</v>
      </c>
      <c r="B61" s="317"/>
      <c r="C61" s="317"/>
      <c r="D61" s="318"/>
      <c r="G61" s="74"/>
      <c r="H61" s="74"/>
    </row>
    <row r="62" spans="1:8" ht="12.75" customHeight="1" thickBot="1" x14ac:dyDescent="0.25">
      <c r="A62" s="138" t="s">
        <v>142</v>
      </c>
      <c r="B62" s="57">
        <v>2</v>
      </c>
      <c r="C62" s="20" t="s">
        <v>12</v>
      </c>
      <c r="D62" s="139" t="s">
        <v>141</v>
      </c>
      <c r="G62" s="74"/>
      <c r="H62" s="74"/>
    </row>
    <row r="63" spans="1:8" ht="12.75" customHeight="1" thickBot="1" x14ac:dyDescent="0.25">
      <c r="A63" s="23" t="s">
        <v>58</v>
      </c>
      <c r="B63" s="57">
        <v>100</v>
      </c>
      <c r="C63" s="21" t="s">
        <v>13</v>
      </c>
      <c r="D63" s="11" t="s">
        <v>69</v>
      </c>
      <c r="G63" s="74"/>
      <c r="H63" s="74"/>
    </row>
    <row r="64" spans="1:8" ht="30" customHeight="1" x14ac:dyDescent="0.2">
      <c r="A64" s="91" t="s">
        <v>309</v>
      </c>
      <c r="B64" s="301">
        <v>30</v>
      </c>
      <c r="C64" s="20" t="s">
        <v>23</v>
      </c>
      <c r="D64" s="92" t="s">
        <v>313</v>
      </c>
      <c r="G64" s="74"/>
      <c r="H64" s="74"/>
    </row>
    <row r="65" spans="1:8" ht="30" customHeight="1" thickBot="1" x14ac:dyDescent="0.25">
      <c r="A65" s="91" t="s">
        <v>310</v>
      </c>
      <c r="B65" s="301">
        <v>2</v>
      </c>
      <c r="C65" s="20" t="s">
        <v>311</v>
      </c>
      <c r="D65" s="92" t="s">
        <v>312</v>
      </c>
      <c r="G65" s="74"/>
      <c r="H65" s="74"/>
    </row>
    <row r="66" spans="1:8" ht="15.95" customHeight="1" thickBot="1" x14ac:dyDescent="0.25">
      <c r="A66" s="304" t="s">
        <v>282</v>
      </c>
      <c r="B66" s="305"/>
      <c r="C66" s="305"/>
      <c r="D66" s="306"/>
      <c r="G66" s="74"/>
      <c r="H66" s="74"/>
    </row>
    <row r="67" spans="1:8" ht="12.75" hidden="1" customHeight="1" x14ac:dyDescent="0.2">
      <c r="A67" s="93" t="s">
        <v>84</v>
      </c>
      <c r="B67" s="94">
        <v>5</v>
      </c>
      <c r="C67" s="95" t="s">
        <v>8</v>
      </c>
      <c r="D67" s="96" t="s">
        <v>49</v>
      </c>
      <c r="G67" s="74"/>
      <c r="H67" s="74"/>
    </row>
    <row r="68" spans="1:8" ht="12.75" customHeight="1" thickBot="1" x14ac:dyDescent="0.25">
      <c r="A68" s="91" t="s">
        <v>277</v>
      </c>
      <c r="B68" s="57">
        <v>1800</v>
      </c>
      <c r="C68" s="20" t="s">
        <v>279</v>
      </c>
      <c r="D68" s="92" t="s">
        <v>281</v>
      </c>
      <c r="G68" s="74"/>
      <c r="H68" s="74"/>
    </row>
    <row r="69" spans="1:8" ht="12.75" customHeight="1" thickBot="1" x14ac:dyDescent="0.25">
      <c r="A69" s="91" t="s">
        <v>278</v>
      </c>
      <c r="B69" s="57">
        <v>1800</v>
      </c>
      <c r="C69" s="20" t="s">
        <v>279</v>
      </c>
      <c r="D69" s="92" t="s">
        <v>281</v>
      </c>
      <c r="G69" s="74"/>
      <c r="H69" s="74"/>
    </row>
    <row r="70" spans="1:8" ht="12.75" customHeight="1" thickBot="1" x14ac:dyDescent="0.25">
      <c r="A70" s="91" t="s">
        <v>280</v>
      </c>
      <c r="B70" s="287">
        <v>1</v>
      </c>
      <c r="C70" s="291" t="s">
        <v>35</v>
      </c>
      <c r="D70" s="92" t="s">
        <v>283</v>
      </c>
      <c r="G70" s="74"/>
      <c r="H70" s="74"/>
    </row>
    <row r="71" spans="1:8" ht="26.25" customHeight="1" x14ac:dyDescent="0.25">
      <c r="A71" s="102" t="s">
        <v>202</v>
      </c>
      <c r="B71" s="103"/>
      <c r="C71" s="102"/>
      <c r="D71" s="104"/>
      <c r="E71" s="74"/>
    </row>
    <row r="72" spans="1:8" ht="12.75" customHeight="1" x14ac:dyDescent="0.2">
      <c r="A72" s="191" t="s">
        <v>187</v>
      </c>
      <c r="B72" s="112">
        <f>(((Number_of_nonSSO_agents*'BW Data'!E5)+(Number_of_SSO_agents*'BW Data'!E9))/(Max_Login_Time_All_Agents*60))*kbps*Bandwidth_Confidence_Factor</f>
        <v>212715.11040000001</v>
      </c>
      <c r="C72" s="6" t="s">
        <v>7</v>
      </c>
      <c r="D72" s="79"/>
      <c r="E72" s="74"/>
      <c r="G72" s="74"/>
      <c r="H72" s="74"/>
    </row>
    <row r="73" spans="1:8" ht="12.75" customHeight="1" x14ac:dyDescent="0.2">
      <c r="A73" s="191" t="s">
        <v>188</v>
      </c>
      <c r="B73" s="112">
        <f>(((Number_of_nonSSO_agents*'BW Data'!E6)+(Number_of_SSO_agents*'BW Data'!E10))/(Max_Login_Time_All_Agents*60))*kbps*Bandwidth_Confidence_Factor</f>
        <v>11565.465600000001</v>
      </c>
      <c r="C73" s="6" t="s">
        <v>7</v>
      </c>
      <c r="D73" s="100"/>
      <c r="E73" s="74"/>
      <c r="G73" s="113"/>
      <c r="H73" s="74"/>
    </row>
    <row r="74" spans="1:8" ht="12.75" customHeight="1" x14ac:dyDescent="0.2">
      <c r="A74" s="191" t="s">
        <v>189</v>
      </c>
      <c r="B74" s="112">
        <f>(((Number_of_nonSSO_supervisors*'BW Data'!E7)+(Number_of_SSO_supervisors*'BW Data'!E11))/(Max_Login_Time_All_Agents*60))*kbps*Bandwidth_Confidence_Factor</f>
        <v>24557.977600000002</v>
      </c>
      <c r="C74" s="6" t="s">
        <v>7</v>
      </c>
      <c r="D74" s="100"/>
      <c r="E74" s="74"/>
      <c r="G74" s="113"/>
      <c r="H74" s="74"/>
    </row>
    <row r="75" spans="1:8" ht="12.75" customHeight="1" x14ac:dyDescent="0.2">
      <c r="A75" s="191" t="s">
        <v>190</v>
      </c>
      <c r="B75" s="112">
        <f>(((Number_of_nonSSO_supervisors*'BW Data'!E8)+(Number_of_SSO_supervisors*'BW Data'!E12))/(Max_Login_Time_All_Agents*60))*kbps*Bandwidth_Confidence_Factor</f>
        <v>1185.6554666666666</v>
      </c>
      <c r="C75" s="6" t="s">
        <v>7</v>
      </c>
      <c r="D75" s="100"/>
      <c r="E75" s="74"/>
      <c r="G75" s="74"/>
      <c r="H75" s="74"/>
    </row>
    <row r="76" spans="1:8" ht="12.75" customHeight="1" thickBot="1" x14ac:dyDescent="0.25">
      <c r="A76" s="268" t="s">
        <v>269</v>
      </c>
      <c r="B76" s="57">
        <v>10</v>
      </c>
      <c r="C76" s="269"/>
      <c r="D76" s="270"/>
      <c r="E76" s="74"/>
      <c r="G76" s="74"/>
      <c r="H76" s="74"/>
    </row>
    <row r="77" spans="1:8" ht="12.75" customHeight="1" thickBot="1" x14ac:dyDescent="0.25">
      <c r="A77" s="268" t="s">
        <v>270</v>
      </c>
      <c r="B77" s="57">
        <v>10</v>
      </c>
      <c r="C77" s="269"/>
      <c r="D77" s="270"/>
      <c r="E77" s="74"/>
      <c r="G77" s="74"/>
      <c r="H77" s="74"/>
    </row>
    <row r="78" spans="1:8" ht="12.75" customHeight="1" thickBot="1" x14ac:dyDescent="0.25">
      <c r="A78" s="268" t="s">
        <v>271</v>
      </c>
      <c r="B78" s="57">
        <v>10</v>
      </c>
      <c r="C78" s="269"/>
      <c r="D78" s="270"/>
      <c r="E78" s="74"/>
      <c r="G78" s="74"/>
      <c r="H78" s="74"/>
    </row>
    <row r="79" spans="1:8" ht="12.75" customHeight="1" thickBot="1" x14ac:dyDescent="0.25">
      <c r="A79" s="268" t="s">
        <v>272</v>
      </c>
      <c r="B79" s="57">
        <v>20</v>
      </c>
      <c r="C79" s="269"/>
      <c r="D79" s="270"/>
      <c r="E79" s="74"/>
      <c r="G79" s="74"/>
      <c r="H79" s="74"/>
    </row>
    <row r="80" spans="1:8" ht="12.75" customHeight="1" thickBot="1" x14ac:dyDescent="0.25">
      <c r="A80" s="268" t="s">
        <v>273</v>
      </c>
      <c r="B80" s="57">
        <v>2</v>
      </c>
      <c r="C80" s="269"/>
      <c r="D80" s="270" t="s">
        <v>274</v>
      </c>
      <c r="E80" s="74"/>
      <c r="G80" s="74"/>
      <c r="H80" s="74"/>
    </row>
    <row r="81" spans="1:8" ht="13.5" thickBot="1" x14ac:dyDescent="0.25">
      <c r="A81" s="23" t="s">
        <v>263</v>
      </c>
      <c r="B81" s="57">
        <v>500</v>
      </c>
      <c r="C81" s="21" t="s">
        <v>257</v>
      </c>
      <c r="D81" s="11"/>
      <c r="G81" s="74"/>
      <c r="H81" s="74"/>
    </row>
    <row r="82" spans="1:8" ht="26.25" thickBot="1" x14ac:dyDescent="0.25">
      <c r="A82" s="23" t="s">
        <v>267</v>
      </c>
      <c r="B82" s="57">
        <v>10</v>
      </c>
      <c r="C82" s="21" t="s">
        <v>258</v>
      </c>
      <c r="D82" s="11" t="s">
        <v>264</v>
      </c>
      <c r="G82" s="74"/>
      <c r="H82" s="74"/>
    </row>
    <row r="83" spans="1:8" ht="26.25" thickBot="1" x14ac:dyDescent="0.25">
      <c r="A83" s="23" t="s">
        <v>268</v>
      </c>
      <c r="B83" s="57">
        <v>10</v>
      </c>
      <c r="C83" s="21" t="s">
        <v>258</v>
      </c>
      <c r="D83" s="11" t="s">
        <v>264</v>
      </c>
      <c r="G83" s="74"/>
      <c r="H83" s="74"/>
    </row>
    <row r="84" spans="1:8" ht="39" thickBot="1" x14ac:dyDescent="0.25">
      <c r="A84" s="23" t="s">
        <v>259</v>
      </c>
      <c r="B84" s="57">
        <v>10</v>
      </c>
      <c r="C84" s="21" t="s">
        <v>260</v>
      </c>
      <c r="D84" s="11" t="s">
        <v>266</v>
      </c>
      <c r="G84" s="74"/>
      <c r="H84" s="74"/>
    </row>
    <row r="85" spans="1:8" ht="26.25" thickBot="1" x14ac:dyDescent="0.25">
      <c r="A85" s="23" t="s">
        <v>261</v>
      </c>
      <c r="B85" s="57">
        <v>2</v>
      </c>
      <c r="C85" s="21" t="s">
        <v>262</v>
      </c>
      <c r="D85" s="11" t="s">
        <v>265</v>
      </c>
      <c r="G85" s="74"/>
      <c r="H85" s="74"/>
    </row>
    <row r="86" spans="1:8" ht="13.5" thickBot="1" x14ac:dyDescent="0.25">
      <c r="A86" s="289" t="s">
        <v>289</v>
      </c>
      <c r="B86" s="112">
        <f>((Number_of_Agents_Answers_Enabled*'BW Data'!E21)/(Max_Login_Time_All_Agents*60)) *kbps * Bandwidth_Confidence_Factor</f>
        <v>19436.352000000003</v>
      </c>
      <c r="C86" s="6" t="s">
        <v>7</v>
      </c>
      <c r="D86" s="284"/>
      <c r="G86" s="74"/>
      <c r="H86" s="74"/>
    </row>
    <row r="87" spans="1:8" s="273" customFormat="1" ht="13.5" thickBot="1" x14ac:dyDescent="0.25">
      <c r="A87" s="289" t="s">
        <v>290</v>
      </c>
      <c r="B87" s="112">
        <f>((Number_of_Agents_Transcripts_Enabled*'BW Data'!E21)/(Max_Login_Time_All_Agents*60)) *kbps * Bandwidth_Confidence_Factor</f>
        <v>19436.352000000003</v>
      </c>
      <c r="C87" s="6" t="s">
        <v>7</v>
      </c>
      <c r="D87" s="272"/>
      <c r="G87" s="274"/>
      <c r="H87" s="274"/>
    </row>
    <row r="88" spans="1:8" s="18" customFormat="1" ht="15.95" customHeight="1" thickBot="1" x14ac:dyDescent="0.3">
      <c r="A88" s="49" t="s">
        <v>191</v>
      </c>
      <c r="B88" s="114">
        <f>( B86+B87+B72+B74 + (B9 * (   B81  * (B80 * (B76 + B77+ B78+ B79) + 180)  +   (B82  + B83) * 250 + B84 * 150 + B85 * 1600 ) * 8 / (B18 * 60 * 1024)) )</f>
        <v>283162.97950000002</v>
      </c>
      <c r="C88" s="51" t="s">
        <v>7</v>
      </c>
      <c r="D88" s="52"/>
      <c r="E88" s="74"/>
      <c r="G88" s="75"/>
      <c r="H88" s="75"/>
    </row>
    <row r="89" spans="1:8" s="18" customFormat="1" ht="15.95" customHeight="1" thickBot="1" x14ac:dyDescent="0.3">
      <c r="A89" s="49" t="s">
        <v>192</v>
      </c>
      <c r="B89" s="114">
        <f>(B86+ B87 + B73+B75 + (B9 * (   B81 * (B80*  (B76 + B77+ B78+ B79) + 180)   +   (B82  + B83) * 250 + B84 * 150 + B85 * 1600 ) * 8 / (B18 * 60 * 1024)))</f>
        <v>58641.012566666672</v>
      </c>
      <c r="C89" s="51" t="s">
        <v>7</v>
      </c>
      <c r="D89" s="52"/>
      <c r="E89" s="74"/>
      <c r="G89" s="75"/>
      <c r="H89" s="75"/>
    </row>
    <row r="90" spans="1:8" s="273" customFormat="1" ht="26.25" customHeight="1" x14ac:dyDescent="0.25">
      <c r="A90" s="102" t="s">
        <v>275</v>
      </c>
      <c r="B90" s="276"/>
      <c r="C90" s="275"/>
      <c r="D90" s="277"/>
      <c r="E90" s="274"/>
    </row>
    <row r="91" spans="1:8" s="273" customFormat="1" ht="12.75" customHeight="1" thickBot="1" x14ac:dyDescent="0.25">
      <c r="A91" s="289" t="s">
        <v>289</v>
      </c>
      <c r="B91" s="112">
        <f>((Number_of_Agents_Answers_Enabled*'BW Data'!H21)/(Max_Login_Time_All_Agents*60)) *kbps * Bandwidth_Confidence_Factor</f>
        <v>33395.793600000005</v>
      </c>
      <c r="C91" s="11" t="s">
        <v>7</v>
      </c>
      <c r="D91" s="283" t="s">
        <v>288</v>
      </c>
      <c r="E91" s="274"/>
      <c r="G91" s="274"/>
      <c r="H91" s="274"/>
    </row>
    <row r="92" spans="1:8" s="273" customFormat="1" ht="12.75" customHeight="1" thickBot="1" x14ac:dyDescent="0.25">
      <c r="A92" s="289" t="s">
        <v>290</v>
      </c>
      <c r="B92" s="112">
        <f>((Number_of_Agents_Transcripts_Enabled*'BW Data'!H21)/(Max_Login_Time_All_Agents*60)) *kbps * Bandwidth_Confidence_Factor</f>
        <v>33395.793600000005</v>
      </c>
      <c r="C92" s="11" t="s">
        <v>7</v>
      </c>
      <c r="D92" s="283" t="s">
        <v>288</v>
      </c>
      <c r="E92" s="274"/>
      <c r="G92" s="274"/>
      <c r="H92" s="274"/>
    </row>
    <row r="93" spans="1:8" s="18" customFormat="1" ht="15.95" customHeight="1" x14ac:dyDescent="0.25">
      <c r="A93" s="102" t="s">
        <v>203</v>
      </c>
      <c r="B93" s="103"/>
      <c r="C93" s="102"/>
      <c r="D93" s="104"/>
      <c r="E93" s="74"/>
      <c r="G93" s="75"/>
      <c r="H93" s="75"/>
    </row>
    <row r="94" spans="1:8" s="18" customFormat="1" ht="12" customHeight="1" x14ac:dyDescent="0.2">
      <c r="A94" s="198" t="s">
        <v>193</v>
      </c>
      <c r="B94" s="199">
        <f>((Number_of_mc_agents*'BW Data'!E13*Number_of_Non_Voice_MRDs)/(Max_Login_Time_All_Agents*60))*kbps*Bandwidth_Confidence_Factor</f>
        <v>0</v>
      </c>
      <c r="C94" s="200" t="s">
        <v>7</v>
      </c>
      <c r="D94" s="201"/>
      <c r="E94" s="74"/>
      <c r="G94" s="75"/>
      <c r="H94" s="75"/>
    </row>
    <row r="95" spans="1:8" s="18" customFormat="1" ht="14.1" customHeight="1" thickBot="1" x14ac:dyDescent="0.25">
      <c r="A95" s="198" t="s">
        <v>194</v>
      </c>
      <c r="B95" s="199">
        <f>((Number_of_nonSSO_agents*'BW Data'!E14*Number_of_Non_Voice_MRDs)/(Max_Login_Time_All_Agents*60))*kbps*Bandwidth_Confidence_Factor</f>
        <v>0</v>
      </c>
      <c r="C95" s="200" t="s">
        <v>7</v>
      </c>
      <c r="D95" s="202"/>
      <c r="E95" s="74"/>
      <c r="G95" s="75"/>
      <c r="H95" s="75"/>
    </row>
    <row r="96" spans="1:8" s="18" customFormat="1" ht="15.95" customHeight="1" thickBot="1" x14ac:dyDescent="0.3">
      <c r="A96" s="49" t="s">
        <v>200</v>
      </c>
      <c r="B96" s="114">
        <f>B94</f>
        <v>0</v>
      </c>
      <c r="C96" s="51" t="s">
        <v>7</v>
      </c>
      <c r="D96" s="52"/>
      <c r="E96" s="74"/>
      <c r="G96" s="75"/>
      <c r="H96" s="75"/>
    </row>
    <row r="97" spans="1:8" s="18" customFormat="1" ht="15.95" customHeight="1" thickBot="1" x14ac:dyDescent="0.3">
      <c r="A97" s="49" t="s">
        <v>201</v>
      </c>
      <c r="B97" s="114">
        <f>B95</f>
        <v>0</v>
      </c>
      <c r="C97" s="51" t="s">
        <v>7</v>
      </c>
      <c r="D97" s="52"/>
      <c r="E97" s="74"/>
      <c r="G97" s="75"/>
      <c r="H97" s="75"/>
    </row>
    <row r="98" spans="1:8" ht="12.75" customHeight="1" thickBot="1" x14ac:dyDescent="0.25">
      <c r="A98" s="2"/>
      <c r="C98" s="4"/>
      <c r="E98" s="74"/>
      <c r="G98" s="74"/>
      <c r="H98" s="74"/>
    </row>
    <row r="99" spans="1:8" ht="18.600000000000001" customHeight="1" thickBot="1" x14ac:dyDescent="0.3">
      <c r="A99" s="307" t="s">
        <v>240</v>
      </c>
      <c r="B99" s="308"/>
      <c r="C99" s="308"/>
      <c r="D99" s="309"/>
      <c r="E99" s="74"/>
      <c r="G99" s="74"/>
      <c r="H99" s="74"/>
    </row>
    <row r="100" spans="1:8" ht="12.75" customHeight="1" thickBot="1" x14ac:dyDescent="0.25">
      <c r="A100" s="240" t="s">
        <v>241</v>
      </c>
      <c r="B100" s="256">
        <v>400</v>
      </c>
      <c r="C100" s="255" t="s">
        <v>242</v>
      </c>
      <c r="D100" s="21"/>
      <c r="E100" s="74"/>
      <c r="G100" s="74"/>
      <c r="H100" s="74"/>
    </row>
    <row r="101" spans="1:8" ht="12.75" customHeight="1" thickBot="1" x14ac:dyDescent="0.25">
      <c r="A101" s="240" t="s">
        <v>243</v>
      </c>
      <c r="B101" s="257">
        <v>1024</v>
      </c>
      <c r="C101" s="255" t="s">
        <v>125</v>
      </c>
      <c r="D101" s="21"/>
      <c r="E101" s="74"/>
      <c r="G101" s="74"/>
      <c r="H101" s="74"/>
    </row>
    <row r="102" spans="1:8" ht="12.75" customHeight="1" x14ac:dyDescent="0.2">
      <c r="A102" s="2"/>
      <c r="C102" s="4"/>
      <c r="E102" s="74"/>
      <c r="G102" s="74"/>
      <c r="H102" s="74"/>
    </row>
    <row r="103" spans="1:8" ht="12.75" customHeight="1" x14ac:dyDescent="0.2">
      <c r="A103" s="2"/>
      <c r="C103" s="4"/>
      <c r="E103" s="74"/>
      <c r="G103" s="74"/>
      <c r="H103" s="74"/>
    </row>
    <row r="104" spans="1:8" ht="12.75" customHeight="1" x14ac:dyDescent="0.2">
      <c r="A104" s="2"/>
      <c r="C104" s="4"/>
      <c r="E104" s="74"/>
      <c r="G104" s="74"/>
      <c r="H104" s="74"/>
    </row>
    <row r="105" spans="1:8" ht="22.5" customHeight="1" thickBot="1" x14ac:dyDescent="0.3">
      <c r="A105" s="102" t="s">
        <v>135</v>
      </c>
      <c r="B105" s="103"/>
      <c r="C105" s="102"/>
      <c r="D105" s="104"/>
      <c r="E105" s="74"/>
    </row>
    <row r="106" spans="1:8" s="18" customFormat="1" ht="15.95" customHeight="1" thickBot="1" x14ac:dyDescent="0.3">
      <c r="A106" s="326" t="s">
        <v>81</v>
      </c>
      <c r="B106" s="327"/>
      <c r="C106" s="327"/>
      <c r="D106" s="328"/>
      <c r="G106" s="75"/>
      <c r="H106" s="75"/>
    </row>
    <row r="107" spans="1:8" ht="12.75" customHeight="1" x14ac:dyDescent="0.2">
      <c r="A107" s="316" t="s">
        <v>112</v>
      </c>
      <c r="B107" s="317"/>
      <c r="C107" s="317"/>
      <c r="D107" s="318"/>
      <c r="G107" s="74"/>
      <c r="H107" s="74"/>
    </row>
    <row r="108" spans="1:8" ht="12.75" customHeight="1" x14ac:dyDescent="0.2">
      <c r="A108" s="42" t="s">
        <v>83</v>
      </c>
      <c r="B108" s="30">
        <f>((('BW Data'!E18+('BW Data'!E19*Average_number_of_Skill_Groups_per_Supervisor))*Number_of_Supervisors)/Skill_Group_Refresh_Rate)*kbps*Bandwidth_Confidence_Factor_v9</f>
        <v>319.488</v>
      </c>
      <c r="C108" s="31" t="s">
        <v>7</v>
      </c>
      <c r="D108" s="32">
        <f>IF(B$137&gt;0,B108/B$137,0)</f>
        <v>1.4390729197187079E-2</v>
      </c>
      <c r="G108" s="74"/>
      <c r="H108" s="74"/>
    </row>
    <row r="109" spans="1:8" ht="12.75" customHeight="1" x14ac:dyDescent="0.2">
      <c r="A109" s="43" t="s">
        <v>85</v>
      </c>
      <c r="B109" s="8">
        <f>(IF(Agent_Task_Wrap_Up_Time&gt;0,Avg_agent_state_Changes_Per_Task_Wrap,Avg_Agent_State_Changes_Per_Task_NoWrap)*'BW Data'!E55*('Finesse 12.6'!Average_number_of_agents_per_Team/(Agent_Task_Wrap_Up_Time+Average_Task_Duration)) * Number_of_teams_for_supervisor* 'BW Data'!E77*kbps*Bandwidth_Confidence_Factor_v9)</f>
        <v>37.273600000000002</v>
      </c>
      <c r="C109" s="6" t="s">
        <v>7</v>
      </c>
      <c r="D109" s="32">
        <f>IF(B$137&gt;0,B109/B$137,0)</f>
        <v>1.6789184063384925E-3</v>
      </c>
      <c r="G109" s="74"/>
      <c r="H109" s="74"/>
    </row>
    <row r="110" spans="1:8" ht="12.75" customHeight="1" x14ac:dyDescent="0.2">
      <c r="A110" s="43" t="s">
        <v>138</v>
      </c>
      <c r="B110" s="8">
        <f>IF(Number_of_Supervisors&gt;0,((Calls_Per_Second * Percentage_of_BargedCalls) * 'BW Data'!E56) * kbps * Bandwidth_Confidence_Factor_v9,0)</f>
        <v>1152.9349565217392</v>
      </c>
      <c r="C110" s="6" t="s">
        <v>7</v>
      </c>
      <c r="D110" s="32">
        <f>IF(B$137&gt;0,B110/B$137,0)</f>
        <v>5.19317618855012E-2</v>
      </c>
      <c r="G110" s="74"/>
      <c r="H110" s="74"/>
    </row>
    <row r="111" spans="1:8" ht="12.75" customHeight="1" x14ac:dyDescent="0.2">
      <c r="A111" s="43" t="s">
        <v>139</v>
      </c>
      <c r="B111" s="8">
        <f>IF(Number_of_Supervisors&gt;0,((Calls_Per_Second * Percentage_of_InterceptedCalls) * 'BW Data'!E58) * kbps * Bandwidth_Confidence_Factor_v9,0)</f>
        <v>69.453913043478266</v>
      </c>
      <c r="C111" s="6" t="s">
        <v>7</v>
      </c>
      <c r="D111" s="32">
        <f>IF(B$137&gt;0,B111/B$137,0)</f>
        <v>3.1284193906928434E-3</v>
      </c>
      <c r="G111" s="74"/>
      <c r="H111" s="74"/>
    </row>
    <row r="112" spans="1:8" ht="12.75" customHeight="1" x14ac:dyDescent="0.2">
      <c r="A112" s="43" t="s">
        <v>111</v>
      </c>
      <c r="B112" s="8">
        <f>IF(Number_of_Supervisors&gt;0,((Calls_Per_Second * Percentage_Calls_Silently_Monitored) * 'BW Data'!E54) * kbps * Bandwidth_Confidence_Factor_v9,0)</f>
        <v>1625.2215652173913</v>
      </c>
      <c r="C112" s="6" t="s">
        <v>7</v>
      </c>
      <c r="D112" s="32">
        <f>IF(B$137&gt;0,B112/B$137,0)</f>
        <v>7.3205013742212527E-2</v>
      </c>
      <c r="E112" s="74"/>
      <c r="G112" s="74"/>
      <c r="H112" s="74"/>
    </row>
    <row r="113" spans="1:8" ht="12.75" customHeight="1" x14ac:dyDescent="0.2">
      <c r="A113" s="296" t="s">
        <v>303</v>
      </c>
      <c r="B113" s="297">
        <f>IF(Number_of_Supervisors&gt;0,((Calls_Per_Second * Percentage_Calls_Silently_Monitored) * 'BW Data'!E58) * kbps * Bandwidth_Confidence_Factor_v9,0)</f>
        <v>138.90782608695653</v>
      </c>
      <c r="C113" s="298"/>
      <c r="D113" s="299"/>
      <c r="E113" s="74"/>
      <c r="G113" s="74"/>
      <c r="H113" s="74"/>
    </row>
    <row r="114" spans="1:8" ht="12.75" customHeight="1" x14ac:dyDescent="0.2">
      <c r="A114" s="316" t="s">
        <v>113</v>
      </c>
      <c r="B114" s="317"/>
      <c r="C114" s="317"/>
      <c r="D114" s="318"/>
      <c r="E114" s="74"/>
      <c r="G114" s="74"/>
      <c r="H114" s="74"/>
    </row>
    <row r="115" spans="1:8" ht="12.75" customHeight="1" x14ac:dyDescent="0.2">
      <c r="A115" s="44" t="s">
        <v>28</v>
      </c>
      <c r="B115" s="8">
        <f>(((Calls_Per_Second*Percentage_of_Incoming_Straight_Calls) * 'BW Data'!E25) + ((Calls_Per_Second*Percentage_of_Outgoing_Straight_Calls) * 'BW Data'!E26)) * kbps * Bandwidth_Confidence_Factor_v9</f>
        <v>3167.0984347826088</v>
      </c>
      <c r="C115" s="6" t="s">
        <v>7</v>
      </c>
      <c r="D115" s="32">
        <f t="shared" ref="D115:D127" si="0">IF(B$137&gt;0,B115/B$137,0)</f>
        <v>0.14265592421559364</v>
      </c>
      <c r="E115" s="74"/>
      <c r="G115" s="74"/>
      <c r="H115" s="74"/>
    </row>
    <row r="116" spans="1:8" ht="12.75" customHeight="1" x14ac:dyDescent="0.2">
      <c r="A116" s="149" t="s">
        <v>150</v>
      </c>
      <c r="B116" s="150">
        <f>((Calls_Per_Second*Percentage_of_SingleStep_Transfer_Calls)*'BW Data'!E29*kbps*Bandwidth_Confidence_Factor_v9)</f>
        <v>2222.5252173913045</v>
      </c>
      <c r="C116" s="151" t="s">
        <v>7</v>
      </c>
      <c r="D116" s="152">
        <f t="shared" si="0"/>
        <v>0.10010942050217099</v>
      </c>
      <c r="E116" s="74"/>
      <c r="G116" s="74"/>
      <c r="H116" s="74"/>
    </row>
    <row r="117" spans="1:8" ht="12.75" customHeight="1" x14ac:dyDescent="0.2">
      <c r="A117" s="44" t="s">
        <v>26</v>
      </c>
      <c r="B117" s="8">
        <f>((Calls_Per_Second * Percentage_of_Consultative_Transfer_Calls) * 'BW Data'!E27) * kbps * Bandwidth_Confidence_Factor_v9</f>
        <v>2500.3408695652174</v>
      </c>
      <c r="C117" s="6" t="s">
        <v>7</v>
      </c>
      <c r="D117" s="32">
        <f t="shared" si="0"/>
        <v>0.11262309806494235</v>
      </c>
      <c r="E117" s="74"/>
      <c r="G117" s="74"/>
      <c r="H117" s="74"/>
    </row>
    <row r="118" spans="1:8" ht="12.75" customHeight="1" x14ac:dyDescent="0.2">
      <c r="A118" s="44" t="s">
        <v>27</v>
      </c>
      <c r="B118" s="8">
        <f>((Calls_Per_Second* Percentage_of_Consultative_Conference_Calls) * 'BW Data'!E28) * kbps * Bandwidth_Confidence_Factor_v9</f>
        <v>1347.4059130434784</v>
      </c>
      <c r="C118" s="6" t="s">
        <v>7</v>
      </c>
      <c r="D118" s="32">
        <f t="shared" si="0"/>
        <v>6.0691336179441162E-2</v>
      </c>
      <c r="E118" s="74"/>
      <c r="G118" s="74"/>
      <c r="H118" s="74"/>
    </row>
    <row r="119" spans="1:8" ht="12.75" customHeight="1" x14ac:dyDescent="0.2">
      <c r="A119" s="43" t="s">
        <v>92</v>
      </c>
      <c r="B119" s="8">
        <f>IF(Agent_Call_Wrap_Up_Time&gt;0,Calls_Per_Second*'BW Data'!E30 * kbps * Bandwidth_Confidence_Factor_v9,0)</f>
        <v>6945.391304347826</v>
      </c>
      <c r="C119" s="98" t="s">
        <v>7</v>
      </c>
      <c r="D119" s="32">
        <f t="shared" si="0"/>
        <v>0.31284193906928431</v>
      </c>
      <c r="E119" s="74"/>
      <c r="G119" s="74"/>
      <c r="H119" s="74"/>
    </row>
    <row r="120" spans="1:8" ht="12.75" customHeight="1" x14ac:dyDescent="0.2">
      <c r="A120" s="43" t="s">
        <v>107</v>
      </c>
      <c r="B120" s="8">
        <f>IF(Number_of_Configured_ECC_variables&gt;0,(Sum_of_all_ECC_Variable_Values+Sum_of_all_ECC_Variable_Names+(Number_of_Configured_ECC_variables*'BW Data'!E46))*Avg_Number_Dialog_Events_Per_IncomingCall*Percentage_of_Incoming_Straight_Calls*Calls_Per_Second*kbps*Bandwidth_Confidence_Factor_v9,0)</f>
        <v>338.6692173913043</v>
      </c>
      <c r="C120" s="6" t="s">
        <v>7</v>
      </c>
      <c r="D120" s="32">
        <f t="shared" si="0"/>
        <v>1.5254710646101077E-2</v>
      </c>
      <c r="E120" s="74"/>
      <c r="G120" s="74"/>
      <c r="H120" s="74"/>
    </row>
    <row r="121" spans="1:8" ht="12.75" customHeight="1" x14ac:dyDescent="0.2">
      <c r="A121" s="43" t="s">
        <v>114</v>
      </c>
      <c r="B121" s="8">
        <f>IF(Number_of_Configured_ECC_variables&gt;0,(Sum_of_all_ECC_Variable_Values+Sum_of_all_ECC_Variable_Names+(Number_of_Configured_ECC_variables*'BW Data'!E46))*Avg_Number_Dialog_Events_Per_OutCall*Percentage_of_Outgoing_Straight_Calls*Calls_Per_Second*kbps*Bandwidth_Confidence_Factor_v9,0)</f>
        <v>903.1179130434781</v>
      </c>
      <c r="C121" s="6" t="s">
        <v>7</v>
      </c>
      <c r="D121" s="32">
        <f t="shared" si="0"/>
        <v>4.0679228389602869E-2</v>
      </c>
      <c r="E121" s="74"/>
      <c r="G121" s="74"/>
      <c r="H121" s="74"/>
    </row>
    <row r="122" spans="1:8" ht="12.75" customHeight="1" x14ac:dyDescent="0.2">
      <c r="A122" s="43" t="s">
        <v>108</v>
      </c>
      <c r="B122" s="8">
        <f>IF(Number_of_Configured_ECC_variables&gt;0,(Sum_of_all_ECC_Variable_Values+Sum_of_all_ECC_Variable_Names+(Number_of_Configured_ECC_variables*'BW Data'!E46))*Avg_Number_Dialog_Events_Per_ConfCall*Percentage_of_Consultative_Conference_Calls*Calls_Per_Second*kbps*Bandwidth_Confidence_Factor_v9,0)</f>
        <v>564.44869565217391</v>
      </c>
      <c r="C122" s="6" t="s">
        <v>7</v>
      </c>
      <c r="D122" s="32">
        <f t="shared" si="0"/>
        <v>2.5424517743501799E-2</v>
      </c>
      <c r="E122" s="74"/>
      <c r="G122" s="74"/>
      <c r="H122" s="74"/>
    </row>
    <row r="123" spans="1:8" ht="12.75" customHeight="1" x14ac:dyDescent="0.2">
      <c r="A123" s="43" t="s">
        <v>109</v>
      </c>
      <c r="B123" s="8">
        <f>IF(Number_of_Configured_ECC_variables&gt;0,(Sum_of_all_ECC_Variable_Values+Sum_of_all_ECC_Variable_Names+(Number_of_Configured_ECC_variables*'BW Data'!E46))*Avg_Number_Dialog_Events_Per_XferCall*Percentage_of_Consultative_Transfer_Calls*Calls_Per_Second*kbps*Bandwidth_Confidence_Factor_v9,0)</f>
        <v>451.55895652173916</v>
      </c>
      <c r="C123" s="6" t="s">
        <v>7</v>
      </c>
      <c r="D123" s="32">
        <f t="shared" si="0"/>
        <v>2.0339614194801438E-2</v>
      </c>
      <c r="E123" s="74"/>
      <c r="G123" s="74"/>
      <c r="H123" s="74"/>
    </row>
    <row r="124" spans="1:8" ht="12" customHeight="1" x14ac:dyDescent="0.2">
      <c r="A124" s="43" t="s">
        <v>103</v>
      </c>
      <c r="B124" s="8">
        <f>(Sum_of_all_Call_Variable_Values+(Number_of_Configured_Call_variables*'BW Data'!E49))*Avg_Number_Dialog_Events_Per_IncomingCall*Percentage_of_Incoming_Straight_Calls*Calls_Per_Second*kbps*Bandwidth_Confidence_Factor_v9</f>
        <v>62.020173913043479</v>
      </c>
      <c r="C124" s="6" t="s">
        <v>7</v>
      </c>
      <c r="D124" s="32">
        <f t="shared" si="0"/>
        <v>2.7935807527827497E-3</v>
      </c>
      <c r="E124" s="74"/>
      <c r="G124" s="74"/>
      <c r="H124" s="74"/>
    </row>
    <row r="125" spans="1:8" ht="12.75" customHeight="1" x14ac:dyDescent="0.2">
      <c r="A125" s="43" t="s">
        <v>104</v>
      </c>
      <c r="B125" s="8">
        <f>(Sum_of_all_Call_Variable_Values+(Number_of_Configured_Call_variables*'BW Data'!E49))*Avg_Number_Dialog_Events_Per_OutCall*Percentage_of_Outgoing_Straight_Calls*Calls_Per_Second*kbps*Bandwidth_Confidence_Factor_v9</f>
        <v>165.38713043478262</v>
      </c>
      <c r="C125" s="6" t="s">
        <v>7</v>
      </c>
      <c r="D125" s="32">
        <f t="shared" si="0"/>
        <v>7.4495486740873331E-3</v>
      </c>
      <c r="E125" s="74"/>
      <c r="G125" s="74"/>
      <c r="H125" s="74"/>
    </row>
    <row r="126" spans="1:8" ht="12.75" customHeight="1" x14ac:dyDescent="0.2">
      <c r="A126" s="43" t="s">
        <v>105</v>
      </c>
      <c r="B126" s="8">
        <f>(Sum_of_all_Call_Variable_Values_v901+(Number_of_Configured_Call_variables*'BW Data'!E49))*Avg_Number_Dialog_Events_Per_ConfCall*Percentage_of_Consultative_Conference_Calls*Calls_Per_Second*kbps*Bandwidth_Confidence_Factor_v9</f>
        <v>103.36695652173913</v>
      </c>
      <c r="C126" s="6" t="s">
        <v>7</v>
      </c>
      <c r="D126" s="32">
        <f t="shared" si="0"/>
        <v>4.6559679213045825E-3</v>
      </c>
      <c r="E126" s="74"/>
      <c r="G126" s="74"/>
      <c r="H126" s="74"/>
    </row>
    <row r="127" spans="1:8" ht="12.75" customHeight="1" x14ac:dyDescent="0.2">
      <c r="A127" s="43" t="s">
        <v>106</v>
      </c>
      <c r="B127" s="8">
        <f>(Sum_of_all_Call_Variable_Values+(Number_of_Configured_Call_variables*'BW Data'!E48))*Avg_Number_Dialog_Events_Per_XferCall*Percentage_of_Consultative_Transfer_Calls*Calls_Per_Second*kbps*Bandwidth_Confidence_Factor_v9</f>
        <v>16.278260869565219</v>
      </c>
      <c r="C127" s="6" t="s">
        <v>7</v>
      </c>
      <c r="D127" s="32">
        <f t="shared" si="0"/>
        <v>7.3322329469363524E-4</v>
      </c>
      <c r="E127" s="74"/>
      <c r="G127" s="74"/>
      <c r="H127" s="74"/>
    </row>
    <row r="128" spans="1:8" ht="12.75" customHeight="1" x14ac:dyDescent="0.2">
      <c r="A128" s="43" t="s">
        <v>304</v>
      </c>
      <c r="B128" s="8">
        <f>('BW Data'!E52  + (((Number_of_Agents_Answers_Enabled/Number_of_Agents) + (Number_of_Agents_Transcript_Enabled/Number_of_Agents)) * 'BW Data'!E51  ) * Percentage_Calls_CCAI_Enabled) *Avg_Number_Dialog_Events_Per_IncomingCall*Calls_Per_Second*kbps*Bandwidth_Confidence_Factor_v9</f>
        <v>69.182608695652178</v>
      </c>
      <c r="C128" s="6" t="s">
        <v>7</v>
      </c>
      <c r="D128" s="32">
        <f t="shared" ref="D128" si="1">IF(B$137&gt;0,B128/B$137,0)</f>
        <v>3.1161990024479494E-3</v>
      </c>
      <c r="E128" s="74"/>
      <c r="G128" s="74"/>
      <c r="H128" s="74"/>
    </row>
    <row r="129" spans="1:8" ht="12.75" customHeight="1" x14ac:dyDescent="0.2">
      <c r="A129" s="43" t="s">
        <v>244</v>
      </c>
      <c r="B129" s="300">
        <f>(((B100/(60*60))*B101)/1024)</f>
        <v>0.1111111111111111</v>
      </c>
      <c r="C129" s="6" t="s">
        <v>7</v>
      </c>
      <c r="D129" s="32">
        <f t="shared" ref="D129:D136" si="2">IF(B$137&gt;0,B129/B$137,0)</f>
        <v>5.0047886330584068E-6</v>
      </c>
      <c r="E129" s="74"/>
      <c r="G129" s="74"/>
      <c r="H129" s="74"/>
    </row>
    <row r="130" spans="1:8" ht="12.75" customHeight="1" x14ac:dyDescent="0.2">
      <c r="A130" s="203" t="s">
        <v>205</v>
      </c>
      <c r="B130" s="204">
        <f>((Tasks_Per_Second*Percentage_of_Incoming_Straight_Tasks) * 'BW Data'!E38) * kbps * Bandwidth_Confidence_Factor</f>
        <v>7.7514666666666676E-2</v>
      </c>
      <c r="C130" s="200" t="s">
        <v>7</v>
      </c>
      <c r="D130" s="205">
        <f t="shared" si="2"/>
        <v>3.4915007036578029E-6</v>
      </c>
      <c r="E130" s="74"/>
      <c r="G130" s="74"/>
      <c r="H130" s="74"/>
    </row>
    <row r="131" spans="1:8" ht="12.75" customHeight="1" x14ac:dyDescent="0.2">
      <c r="A131" s="206" t="s">
        <v>206</v>
      </c>
      <c r="B131" s="207">
        <f>((Tasks_Per_Second*Percentage_of_Transferred_Tasks)*'BW Data'!E39*kbps*Bandwidth_Confidence_Factor)</f>
        <v>0.15735142222222223</v>
      </c>
      <c r="C131" s="208" t="s">
        <v>7</v>
      </c>
      <c r="D131" s="209">
        <f t="shared" si="2"/>
        <v>7.0875954840001667E-6</v>
      </c>
      <c r="E131" s="74"/>
      <c r="G131" s="74"/>
      <c r="H131" s="74"/>
    </row>
    <row r="132" spans="1:8" ht="12.75" customHeight="1" x14ac:dyDescent="0.2">
      <c r="A132" s="203" t="s">
        <v>207</v>
      </c>
      <c r="B132" s="204">
        <f>((Tasks_Per_Second * Percentage_of_Interrupted_Tasks) * 'BW Data'!E42) * kbps * Bandwidth_Confidence_Factor</f>
        <v>0.42451644444444442</v>
      </c>
      <c r="C132" s="200" t="s">
        <v>7</v>
      </c>
      <c r="D132" s="205">
        <f t="shared" si="2"/>
        <v>1.9121535681317333E-5</v>
      </c>
      <c r="E132" s="74"/>
      <c r="G132" s="74"/>
      <c r="H132" s="74"/>
    </row>
    <row r="133" spans="1:8" ht="12.75" customHeight="1" x14ac:dyDescent="0.2">
      <c r="A133" s="203" t="s">
        <v>208</v>
      </c>
      <c r="B133" s="204">
        <f>(Tasks_Per_Second*Percentage_of_Paused_and_Resumed_Tasks)*('BW Data'!E40+'BW Data'!E41)*kbps*Bandwidth_Confidence_Factor</f>
        <v>0.11776555555555555</v>
      </c>
      <c r="C133" s="200" t="s">
        <v>7</v>
      </c>
      <c r="D133" s="205">
        <f t="shared" si="2"/>
        <v>5.3045254242922743E-6</v>
      </c>
      <c r="E133" s="74"/>
      <c r="G133" s="74"/>
      <c r="H133" s="74"/>
    </row>
    <row r="134" spans="1:8" ht="12.75" customHeight="1" thickBot="1" x14ac:dyDescent="0.25">
      <c r="A134" s="210" t="s">
        <v>211</v>
      </c>
      <c r="B134" s="204">
        <f>IF(Agent_Task_Wrap_Up_Time&gt;0,Tasks_Per_Second*'BW Data'!E43*kbps*Bandwidth_Confidence_Factor,0)</f>
        <v>0</v>
      </c>
      <c r="C134" s="211" t="s">
        <v>7</v>
      </c>
      <c r="D134" s="205">
        <f t="shared" si="2"/>
        <v>0</v>
      </c>
      <c r="E134" s="74"/>
      <c r="F134">
        <f>Percentage_Calls_CCAI_Enabled</f>
        <v>1</v>
      </c>
      <c r="G134" s="74"/>
      <c r="H134" s="74"/>
    </row>
    <row r="135" spans="1:8" ht="12.75" customHeight="1" thickBot="1" x14ac:dyDescent="0.25">
      <c r="A135" s="41" t="s">
        <v>61</v>
      </c>
      <c r="B135" s="39">
        <f>SUM(B115:B134)</f>
        <v>18857.679911373911</v>
      </c>
      <c r="C135" s="40" t="s">
        <v>7</v>
      </c>
      <c r="D135" s="33">
        <f t="shared" si="2"/>
        <v>0.84940831859668209</v>
      </c>
      <c r="E135" s="74"/>
      <c r="F135">
        <f>538 *kbps</f>
        <v>4.3040000000000003</v>
      </c>
      <c r="G135" s="74"/>
      <c r="H135" s="74"/>
    </row>
    <row r="136" spans="1:8" ht="12.75" customHeight="1" thickBot="1" x14ac:dyDescent="0.25">
      <c r="A136" s="41" t="s">
        <v>62</v>
      </c>
      <c r="B136" s="39">
        <f>SUM(B108:B113)</f>
        <v>3343.2798608695653</v>
      </c>
      <c r="C136" s="40" t="s">
        <v>7</v>
      </c>
      <c r="D136" s="33">
        <f t="shared" si="2"/>
        <v>0.15059168140331783</v>
      </c>
      <c r="E136" s="74"/>
      <c r="F136">
        <f>13.04*F135 * 1.3</f>
        <v>72.961408000000006</v>
      </c>
      <c r="G136" s="74"/>
      <c r="H136" s="74"/>
    </row>
    <row r="137" spans="1:8" s="18" customFormat="1" ht="15.95" customHeight="1" thickBot="1" x14ac:dyDescent="0.3">
      <c r="A137" s="49" t="s">
        <v>63</v>
      </c>
      <c r="B137" s="50">
        <f>SUM(B135:B136)</f>
        <v>22200.959772243477</v>
      </c>
      <c r="C137" s="51" t="s">
        <v>7</v>
      </c>
      <c r="D137" s="52">
        <f>SUM(D108:D128)</f>
        <v>0.99370315127268827</v>
      </c>
      <c r="E137" s="74"/>
      <c r="G137" s="75"/>
      <c r="H137" s="75"/>
    </row>
    <row r="138" spans="1:8" ht="12.75" customHeight="1" thickBot="1" x14ac:dyDescent="0.25">
      <c r="A138" s="41" t="s">
        <v>297</v>
      </c>
      <c r="B138" s="39">
        <f>IF(Number_of_Agents&gt;0,MAX(SUM(B115, B120:B121, B124:B125),SUM(B116, B123, B127), SUM(B117, B123, B127), SUM(B118, B122, B126), SUM(B119, B124))/Calls_Per_Second,0)</f>
        <v>537.23487999999998</v>
      </c>
      <c r="C138" s="40" t="s">
        <v>7</v>
      </c>
      <c r="D138" s="33"/>
      <c r="F138">
        <f>0.08 * 1000 / 8</f>
        <v>10</v>
      </c>
      <c r="G138" s="74"/>
      <c r="H138" s="74"/>
    </row>
    <row r="139" spans="1:8" ht="12.75" customHeight="1" thickBot="1" x14ac:dyDescent="0.25">
      <c r="A139" s="41" t="s">
        <v>298</v>
      </c>
      <c r="B139" s="39">
        <f>IF(Number_of_Supervisors&gt;0,SUM(B108:B109, SUM(MAX(B120:B128), MAX(B110:B119)))/Calls_Per_Second,0)</f>
        <v>629.07076266666672</v>
      </c>
      <c r="C139" s="40" t="s">
        <v>7</v>
      </c>
      <c r="D139" s="33"/>
      <c r="G139" s="74"/>
      <c r="H139" s="74"/>
    </row>
    <row r="140" spans="1:8" ht="12.75" customHeight="1" x14ac:dyDescent="0.2"/>
    <row r="141" spans="1:8" s="273" customFormat="1" ht="26.25" customHeight="1" x14ac:dyDescent="0.25">
      <c r="A141" s="102" t="s">
        <v>276</v>
      </c>
      <c r="B141" s="276"/>
      <c r="C141" s="275"/>
      <c r="D141" s="277"/>
      <c r="E141" s="274"/>
    </row>
    <row r="142" spans="1:8" s="273" customFormat="1" ht="12.75" customHeight="1" x14ac:dyDescent="0.2">
      <c r="A142" s="289" t="s">
        <v>284</v>
      </c>
      <c r="B142" s="290">
        <f>(Calls_Per_Second *Percentage_Calls_CCAI_Enabled  * 'BW Data'!H22)*kbps * Bandwidth_Confidence_Factor_CCAI</f>
        <v>72.985391304347829</v>
      </c>
      <c r="C142" s="98" t="s">
        <v>7</v>
      </c>
      <c r="D142" s="278"/>
      <c r="E142" s="274"/>
      <c r="G142" s="274"/>
      <c r="H142" s="274"/>
    </row>
    <row r="143" spans="1:8" s="273" customFormat="1" ht="12.75" customHeight="1" thickBot="1" x14ac:dyDescent="0.25">
      <c r="A143" s="289" t="s">
        <v>307</v>
      </c>
      <c r="B143" s="290">
        <f>(Calls_Per_Second *Percentage_Calls_CCAI_Enabled * 'BW Data'!H23)*kbps*Bandwidth_Confidence_Factor_CCAI</f>
        <v>71.140521739130421</v>
      </c>
      <c r="C143" s="98" t="s">
        <v>7</v>
      </c>
      <c r="D143" s="278"/>
      <c r="E143" s="274"/>
      <c r="G143" s="274"/>
      <c r="H143" s="274"/>
    </row>
    <row r="144" spans="1:8" s="18" customFormat="1" ht="15.95" customHeight="1" thickBot="1" x14ac:dyDescent="0.3">
      <c r="A144" s="49" t="s">
        <v>63</v>
      </c>
      <c r="B144" s="50">
        <f>SUM(B142:B143)</f>
        <v>144.12591304347825</v>
      </c>
      <c r="C144" s="51" t="s">
        <v>7</v>
      </c>
      <c r="D144" s="52">
        <f>SUM(D118:D137)</f>
        <v>2.4877230270866635</v>
      </c>
      <c r="E144" s="74"/>
      <c r="G144" s="75"/>
      <c r="H144" s="75"/>
    </row>
    <row r="145" spans="1:8" ht="12.75" customHeight="1" thickBot="1" x14ac:dyDescent="0.25">
      <c r="A145" s="41" t="s">
        <v>93</v>
      </c>
      <c r="B145" s="286">
        <f>IF(Number_of_Agents&gt;0,B144/Calls_Per_Second,0)</f>
        <v>11.049653333333334</v>
      </c>
      <c r="C145" s="40" t="s">
        <v>7</v>
      </c>
      <c r="D145" s="33" t="s">
        <v>292</v>
      </c>
      <c r="G145" s="74"/>
      <c r="H145" s="74"/>
    </row>
    <row r="146" spans="1:8" ht="18.95" customHeight="1" thickBot="1" x14ac:dyDescent="0.3">
      <c r="A146" s="339" t="s">
        <v>251</v>
      </c>
      <c r="B146" s="340"/>
      <c r="C146" s="340"/>
      <c r="D146" s="340"/>
    </row>
    <row r="147" spans="1:8" ht="12.75" customHeight="1" thickBot="1" x14ac:dyDescent="0.25">
      <c r="A147" s="240" t="s">
        <v>247</v>
      </c>
      <c r="B147" s="256">
        <v>3000</v>
      </c>
      <c r="C147" s="255"/>
      <c r="D147" s="21"/>
    </row>
    <row r="148" spans="1:8" ht="12.75" customHeight="1" thickBot="1" x14ac:dyDescent="0.25">
      <c r="A148" s="240" t="s">
        <v>250</v>
      </c>
      <c r="B148" s="257">
        <v>0.36699999999999999</v>
      </c>
      <c r="C148" s="263" t="s">
        <v>248</v>
      </c>
      <c r="D148" s="21"/>
    </row>
    <row r="149" spans="1:8" ht="12.75" customHeight="1" x14ac:dyDescent="0.2"/>
    <row r="150" spans="1:8" ht="12.75" customHeight="1" x14ac:dyDescent="0.2"/>
    <row r="151" spans="1:8" ht="12.75" customHeight="1" x14ac:dyDescent="0.2"/>
    <row r="152" spans="1:8" ht="22.5" customHeight="1" thickBot="1" x14ac:dyDescent="0.3">
      <c r="A152" s="102" t="s">
        <v>136</v>
      </c>
      <c r="B152" s="103"/>
      <c r="C152" s="102"/>
      <c r="D152" s="104"/>
    </row>
    <row r="153" spans="1:8" s="18" customFormat="1" ht="15.95" customHeight="1" thickBot="1" x14ac:dyDescent="0.3">
      <c r="A153" s="326" t="s">
        <v>81</v>
      </c>
      <c r="B153" s="327"/>
      <c r="C153" s="327"/>
      <c r="D153" s="328"/>
      <c r="G153" s="75"/>
      <c r="H153" s="75"/>
    </row>
    <row r="154" spans="1:8" ht="12.75" customHeight="1" x14ac:dyDescent="0.2">
      <c r="A154" s="316" t="s">
        <v>112</v>
      </c>
      <c r="B154" s="317"/>
      <c r="C154" s="317"/>
      <c r="D154" s="318"/>
      <c r="G154" s="74"/>
      <c r="H154" s="74"/>
    </row>
    <row r="155" spans="1:8" ht="12.75" customHeight="1" x14ac:dyDescent="0.2">
      <c r="A155" s="42" t="s">
        <v>137</v>
      </c>
      <c r="B155" s="30">
        <f>((Number_of_Supervisors*'BW Data'!F7)/(Max_Login_Time_All_Agents*60))*kbps*Bandwidth_Confidence_Factor_v91</f>
        <v>56.735466666666667</v>
      </c>
      <c r="C155" s="31" t="s">
        <v>7</v>
      </c>
      <c r="D155" s="32">
        <f t="shared" ref="D155:D161" si="3">IF(B$186&gt;0,B155/B$186,0)</f>
        <v>7.7141045329238312E-3</v>
      </c>
      <c r="G155" s="74"/>
      <c r="H155" s="74"/>
    </row>
    <row r="156" spans="1:8" ht="12.75" customHeight="1" x14ac:dyDescent="0.2">
      <c r="A156" s="42" t="s">
        <v>83</v>
      </c>
      <c r="B156" s="30">
        <f>(('BW Data'!F19*Number_of_Skill_Groups_PG)/Skill_Group_Refresh_Rate_v91)*kbps*Bandwidth_Confidence_Factor_v91</f>
        <v>2237.04</v>
      </c>
      <c r="C156" s="31" t="s">
        <v>7</v>
      </c>
      <c r="D156" s="32">
        <f t="shared" si="3"/>
        <v>0.30416177777683906</v>
      </c>
      <c r="G156" s="74"/>
      <c r="H156" s="74"/>
    </row>
    <row r="157" spans="1:8" ht="12.75" customHeight="1" x14ac:dyDescent="0.2">
      <c r="A157" s="43" t="s">
        <v>85</v>
      </c>
      <c r="B157" s="30">
        <f>(IF(Agent_Call_Wrap_Up_Time&gt;0,Avg_Agent_State_Changes_Per_Call_Wrap,Avg_Agent_State_Changes_Per_Call_NoWrap)*'BW Data'!F55*Calls_Per_Second*kbps*Bandwidth_Confidence_Factor_v91)</f>
        <v>1054.8313043478261</v>
      </c>
      <c r="C157" s="6" t="s">
        <v>7</v>
      </c>
      <c r="D157" s="32">
        <f t="shared" si="3"/>
        <v>0.14342138038886063</v>
      </c>
      <c r="G157" s="74"/>
      <c r="H157" s="74"/>
    </row>
    <row r="158" spans="1:8" ht="12.75" customHeight="1" x14ac:dyDescent="0.2">
      <c r="A158" s="43" t="s">
        <v>138</v>
      </c>
      <c r="B158" s="30">
        <f>IF(Number_of_Supervisors&gt;0,((Calls_Per_Second* Percentage_of_BargedCalls) * 'BW Data'!F56) * kbps * Bandwidth_Confidence_Factor_v91,0)</f>
        <v>69.453913043478266</v>
      </c>
      <c r="C158" s="6" t="s">
        <v>7</v>
      </c>
      <c r="D158" s="32">
        <f t="shared" si="3"/>
        <v>9.4433830708714819E-3</v>
      </c>
      <c r="G158" s="74"/>
      <c r="H158" s="74"/>
    </row>
    <row r="159" spans="1:8" ht="12.75" customHeight="1" x14ac:dyDescent="0.2">
      <c r="A159" s="43" t="s">
        <v>139</v>
      </c>
      <c r="B159" s="30">
        <f>IF(Number_of_Supervisors&gt;0,((Calls_Per_Second* Percentage_of_InterceptedCalls) * 'BW Data'!F58) * kbps * Bandwidth_Confidence_Factor_v91,0)</f>
        <v>117.67826086956522</v>
      </c>
      <c r="C159" s="6" t="s">
        <v>7</v>
      </c>
      <c r="D159" s="32">
        <f t="shared" si="3"/>
        <v>1.6000263308556664E-2</v>
      </c>
      <c r="G159" s="74"/>
      <c r="H159" s="74"/>
    </row>
    <row r="160" spans="1:8" ht="12.75" customHeight="1" x14ac:dyDescent="0.2">
      <c r="A160" s="43" t="s">
        <v>303</v>
      </c>
      <c r="B160" s="8">
        <f>IF(Number_of_Supervisors&gt;0,((Calls_Per_Second* Percentage_Calls_Silently_Monitored) * 'BW Data'!F58) * kbps * Bandwidth_Confidence_Factor_v91,0)</f>
        <v>235.35652173913044</v>
      </c>
      <c r="C160" s="6" t="s">
        <v>7</v>
      </c>
      <c r="D160" s="32">
        <f t="shared" si="3"/>
        <v>3.2000526617113327E-2</v>
      </c>
      <c r="G160" s="74"/>
      <c r="H160" s="74"/>
    </row>
    <row r="161" spans="1:8" ht="12.75" customHeight="1" x14ac:dyDescent="0.2">
      <c r="A161" s="43" t="s">
        <v>111</v>
      </c>
      <c r="B161" s="8">
        <f>IF(Number_of_Supervisors&gt;0,((Calls_Per_Second* Percentage_Calls_Silently_Monitored) * 'BW Data'!F54) * kbps * Bandwidth_Confidence_Factor_v91,0)</f>
        <v>49.268869565217386</v>
      </c>
      <c r="C161" s="6" t="s">
        <v>7</v>
      </c>
      <c r="D161" s="32">
        <f t="shared" si="3"/>
        <v>6.6988998658994567E-3</v>
      </c>
      <c r="G161" s="74"/>
      <c r="H161" s="74"/>
    </row>
    <row r="162" spans="1:8" ht="12.75" customHeight="1" x14ac:dyDescent="0.2">
      <c r="A162" s="316" t="s">
        <v>113</v>
      </c>
      <c r="B162" s="317"/>
      <c r="C162" s="317"/>
      <c r="D162" s="318"/>
      <c r="G162" s="74"/>
      <c r="H162" s="74"/>
    </row>
    <row r="163" spans="1:8" ht="12.75" customHeight="1" x14ac:dyDescent="0.2">
      <c r="A163" s="44" t="s">
        <v>28</v>
      </c>
      <c r="B163" s="8">
        <f>(((Calls_Per_Second*Percentage_of_Incoming_Straight_Calls) * 'BW Data'!F25) + ((Calls_Per_Second*Percentage_of_Outgoing_Straight_Calls) * 'BW Data'!F26)) * kbps * Bandwidth_Confidence_Factor_v91</f>
        <v>692.76208695652178</v>
      </c>
      <c r="C163" s="6" t="s">
        <v>7</v>
      </c>
      <c r="D163" s="32">
        <f t="shared" ref="D163:D176" si="4">IF(B$186&gt;0,B163/B$186,0)</f>
        <v>9.4192212899674957E-2</v>
      </c>
      <c r="G163" s="74"/>
      <c r="H163" s="74"/>
    </row>
    <row r="164" spans="1:8" ht="12.75" hidden="1" customHeight="1" x14ac:dyDescent="0.2">
      <c r="A164" s="89" t="s">
        <v>82</v>
      </c>
      <c r="B164" s="88">
        <v>0</v>
      </c>
      <c r="C164" s="90" t="s">
        <v>7</v>
      </c>
      <c r="D164" s="32">
        <f t="shared" si="4"/>
        <v>0</v>
      </c>
      <c r="G164" s="74"/>
      <c r="H164" s="74"/>
    </row>
    <row r="165" spans="1:8" ht="12.75" customHeight="1" x14ac:dyDescent="0.2">
      <c r="A165" s="44" t="s">
        <v>26</v>
      </c>
      <c r="B165" s="8">
        <f>((Calls_Per_Second* Percentage_of_Consultative_Transfer_Calls) * 'BW Data'!F27) * kbps * Bandwidth_Confidence_Factor_v91</f>
        <v>191.81217391304349</v>
      </c>
      <c r="C165" s="6" t="s">
        <v>7</v>
      </c>
      <c r="D165" s="32">
        <f t="shared" si="4"/>
        <v>2.6079968090258351E-2</v>
      </c>
      <c r="G165" s="74"/>
      <c r="H165" s="74"/>
    </row>
    <row r="166" spans="1:8" ht="12.75" customHeight="1" x14ac:dyDescent="0.2">
      <c r="A166" s="44" t="s">
        <v>27</v>
      </c>
      <c r="B166" s="8">
        <f>((Calls_Per_Second * Percentage_of_Consultative_Conference_Calls) * 'BW Data'!F28) * kbps * Bandwidth_Confidence_Factor_v91</f>
        <v>189.94017391304348</v>
      </c>
      <c r="C166" s="6" t="s">
        <v>7</v>
      </c>
      <c r="D166" s="32">
        <f t="shared" si="4"/>
        <v>2.5825439405926267E-2</v>
      </c>
      <c r="G166" s="74"/>
      <c r="H166" s="74"/>
    </row>
    <row r="167" spans="1:8" ht="12.75" customHeight="1" x14ac:dyDescent="0.2">
      <c r="A167" s="43" t="s">
        <v>132</v>
      </c>
      <c r="B167" s="8">
        <f>((Calls_Per_Second * Percentage_of_SingleStep_Transfer_Calls) * 'BW Data'!F29) * kbps * Bandwidth_Confidence_Factor_v91</f>
        <v>344.61078260869573</v>
      </c>
      <c r="C167" s="98" t="s">
        <v>7</v>
      </c>
      <c r="D167" s="32">
        <f t="shared" si="4"/>
        <v>4.6855410846175623E-2</v>
      </c>
      <c r="G167" s="74"/>
      <c r="H167" s="74"/>
    </row>
    <row r="168" spans="1:8" ht="12.75" customHeight="1" x14ac:dyDescent="0.2">
      <c r="A168" s="43" t="s">
        <v>92</v>
      </c>
      <c r="B168" s="8">
        <f>IF(Agent_Call_Wrap_Up_Time&gt;0,Calls_Per_Second*'BW Data'!F30 * kbps * Bandwidth_Confidence_Factor_v91,0)</f>
        <v>695.48869565217387</v>
      </c>
      <c r="C168" s="98" t="s">
        <v>7</v>
      </c>
      <c r="D168" s="32">
        <f t="shared" si="4"/>
        <v>9.456293946163688E-2</v>
      </c>
      <c r="G168" s="74"/>
      <c r="H168" s="74"/>
    </row>
    <row r="169" spans="1:8" ht="12.75" customHeight="1" x14ac:dyDescent="0.2">
      <c r="A169" s="43" t="s">
        <v>107</v>
      </c>
      <c r="B169" s="8">
        <f>IF(Number_of_Configured_ECC_variables&gt;0,(Sum_of_all_ECC_Variable_Values+Sum_of_all_ECC_Variable_Names)*Percentage_of_Incoming_Straight_Calls*Calls_Per_Second*kbps*Bandwidth_Confidence_Factor_v91,0)</f>
        <v>106.21565217391303</v>
      </c>
      <c r="C169" s="6" t="s">
        <v>7</v>
      </c>
      <c r="D169" s="32">
        <f t="shared" si="4"/>
        <v>1.4441736219711659E-2</v>
      </c>
      <c r="G169" s="74"/>
      <c r="H169" s="74"/>
    </row>
    <row r="170" spans="1:8" ht="12.75" customHeight="1" x14ac:dyDescent="0.2">
      <c r="A170" s="43" t="s">
        <v>114</v>
      </c>
      <c r="B170" s="8">
        <f>IF(Number_of_Configured_ECC_variables&gt;0,(Sum_of_all_ECC_Variable_Values+Sum_of_all_ECC_Variable_Names)*Percentage_of_Outgoing_Straight_Calls*Calls_Per_Second*kbps*Bandwidth_Confidence_Factor_v91,0)</f>
        <v>106.21565217391303</v>
      </c>
      <c r="C170" s="6" t="s">
        <v>7</v>
      </c>
      <c r="D170" s="32">
        <f t="shared" si="4"/>
        <v>1.4441736219711659E-2</v>
      </c>
      <c r="G170" s="74"/>
      <c r="H170" s="74"/>
    </row>
    <row r="171" spans="1:8" ht="12.75" customHeight="1" x14ac:dyDescent="0.2">
      <c r="A171" s="43" t="s">
        <v>108</v>
      </c>
      <c r="B171" s="8">
        <f>IF(Number_of_Configured_ECC_variables&gt;0,(Sum_of_all_ECC_Variable_Values+Sum_of_all_ECC_Variable_Names)*Percentage_of_Consultative_Conference_Calls*Calls_Per_Second*kbps*Bandwidth_Confidence_Factor_v91,0)</f>
        <v>35.405217391304348</v>
      </c>
      <c r="C171" s="6" t="s">
        <v>7</v>
      </c>
      <c r="D171" s="32">
        <f t="shared" si="4"/>
        <v>4.8139120732372202E-3</v>
      </c>
      <c r="G171" s="74"/>
      <c r="H171" s="74"/>
    </row>
    <row r="172" spans="1:8" ht="12.75" customHeight="1" x14ac:dyDescent="0.2">
      <c r="A172" s="43" t="s">
        <v>109</v>
      </c>
      <c r="B172" s="8">
        <f>IF(Number_of_Configured_ECC_variables&gt;0,(Sum_of_all_ECC_Variable_Values+Sum_of_all_ECC_Variable_Names)*Percentage_of_Consultative_Transfer_Calls*Calls_Per_Second*kbps*Bandwidth_Confidence_Factor_v91,0)</f>
        <v>35.405217391304348</v>
      </c>
      <c r="C172" s="6" t="s">
        <v>7</v>
      </c>
      <c r="D172" s="32">
        <f t="shared" si="4"/>
        <v>4.8139120732372202E-3</v>
      </c>
      <c r="G172" s="74"/>
      <c r="H172" s="74"/>
    </row>
    <row r="173" spans="1:8" ht="12" customHeight="1" x14ac:dyDescent="0.2">
      <c r="A173" s="43" t="s">
        <v>103</v>
      </c>
      <c r="B173" s="8">
        <f>IF(Number_of_Configured_Call_variables&gt;0,(Sum_of_all_Call_Variable_Values+Bytes_Per_Call_Variable_Value)*Percentage_of_Incoming_Straight_Calls*Calls_Per_Second*kbps*Bandwidth_Confidence_Factor_v91,0)</f>
        <v>4.6393043478260862</v>
      </c>
      <c r="C173" s="6" t="s">
        <v>7</v>
      </c>
      <c r="D173" s="32">
        <f t="shared" si="4"/>
        <v>6.3078847856211839E-4</v>
      </c>
      <c r="G173" s="74"/>
      <c r="H173" s="74"/>
    </row>
    <row r="174" spans="1:8" ht="12.75" customHeight="1" x14ac:dyDescent="0.2">
      <c r="A174" s="43" t="s">
        <v>104</v>
      </c>
      <c r="B174" s="8">
        <f>IF(Number_of_Configured_Call_variables&gt;0,(Sum_of_all_Call_Variable_Values+Bytes_Per_Call_Variable_Value)*Percentage_of_Outgoing_Straight_Calls*Calls_Per_Second*kbps*Bandwidth_Confidence_Factor_v91,0)</f>
        <v>4.6393043478260862</v>
      </c>
      <c r="C174" s="6" t="s">
        <v>7</v>
      </c>
      <c r="D174" s="32">
        <f t="shared" si="4"/>
        <v>6.3078847856211839E-4</v>
      </c>
      <c r="G174" s="74"/>
      <c r="H174" s="74"/>
    </row>
    <row r="175" spans="1:8" ht="12.75" customHeight="1" x14ac:dyDescent="0.2">
      <c r="A175" s="43" t="s">
        <v>105</v>
      </c>
      <c r="B175" s="8">
        <f>IF(Number_of_Configured_Call_variables&gt;0,(Sum_of_all_Call_Variable_Values+Bytes_Per_Call_Variable_Value)*Percentage_of_Consultative_Conference_Calls*Calls_Per_Second*kbps*Bandwidth_Confidence_Factor_v91,0)</f>
        <v>1.5464347826086957</v>
      </c>
      <c r="C175" s="6" t="s">
        <v>7</v>
      </c>
      <c r="D175" s="32">
        <f t="shared" si="4"/>
        <v>2.1026282618737284E-4</v>
      </c>
      <c r="G175" s="74"/>
      <c r="H175" s="74"/>
    </row>
    <row r="176" spans="1:8" ht="12.75" customHeight="1" x14ac:dyDescent="0.2">
      <c r="A176" s="43" t="s">
        <v>106</v>
      </c>
      <c r="B176" s="8">
        <f>IF(Number_of_Configured_Call_variables&gt;0,(Sum_of_all_Call_Variable_Values+Bytes_Per_Call_Variable_Value)*Percentage_of_Consultative_Transfer_Calls*Calls_Per_Second*kbps*Bandwidth_Confidence_Factor_v91,0)</f>
        <v>1.5464347826086957</v>
      </c>
      <c r="C176" s="6" t="s">
        <v>7</v>
      </c>
      <c r="D176" s="32">
        <f t="shared" si="4"/>
        <v>2.1026282618737284E-4</v>
      </c>
      <c r="G176" s="74"/>
      <c r="H176" s="74"/>
    </row>
    <row r="177" spans="1:8" ht="12.75" customHeight="1" x14ac:dyDescent="0.2">
      <c r="A177" s="43" t="s">
        <v>304</v>
      </c>
      <c r="B177" s="8">
        <f>('BW Data'!E52  + (((Number_of_Agents_Answers_Enabled/Number_of_Agents) + (Number_of_Agents_Transcript_Enabled/Number_of_Agents)) * 'BW Data'!E51  )) * Percentage_Calls_CCAI_Enabled*Calls_Per_Second*kbps*Bandwidth_Confidence_Factor_v9</f>
        <v>23.060869565217391</v>
      </c>
      <c r="C177" s="6" t="s">
        <v>7</v>
      </c>
      <c r="D177" s="32">
        <f t="shared" ref="D177" si="5">IF(B$137&gt;0,B177/B$137,0)</f>
        <v>1.0387330008159831E-3</v>
      </c>
      <c r="E177" s="74"/>
      <c r="G177" s="74"/>
      <c r="H177" s="74"/>
    </row>
    <row r="178" spans="1:8" ht="12.75" customHeight="1" x14ac:dyDescent="0.2">
      <c r="A178" s="203" t="s">
        <v>205</v>
      </c>
      <c r="B178" s="204">
        <f>((Tasks_Per_Second*Percentage_of_Incoming_Straight_Tasks) * 'BW Data'!F38) * kbps * Bandwidth_Confidence_Factor</f>
        <v>1.4929777777777778E-2</v>
      </c>
      <c r="C178" s="200" t="s">
        <v>7</v>
      </c>
      <c r="D178" s="205">
        <f>IF(B$137&gt;0,B178/B$137,0)</f>
        <v>6.7248343904679198E-7</v>
      </c>
      <c r="G178" s="74"/>
      <c r="H178" s="74"/>
    </row>
    <row r="179" spans="1:8" ht="12.75" customHeight="1" x14ac:dyDescent="0.2">
      <c r="A179" s="206" t="s">
        <v>206</v>
      </c>
      <c r="B179" s="207">
        <f>((Tasks_Per_Second*Percentage_of_Transferred_Tasks)*'BW Data'!F39*kbps*Bandwidth_Confidence_Factor)</f>
        <v>3.4725888888888889E-2</v>
      </c>
      <c r="C179" s="208" t="s">
        <v>7</v>
      </c>
      <c r="D179" s="209">
        <f>IF(B$137&gt;0,B179/B$137,0)</f>
        <v>1.564161605855643E-6</v>
      </c>
      <c r="G179" s="74"/>
      <c r="H179" s="74"/>
    </row>
    <row r="180" spans="1:8" ht="12.75" customHeight="1" x14ac:dyDescent="0.2">
      <c r="A180" s="203" t="s">
        <v>207</v>
      </c>
      <c r="B180" s="204">
        <f>((Tasks_Per_Second * Percentage_of_Interrupted_Tasks) * 'BW Data'!F42) * kbps * Bandwidth_Confidence_Factor</f>
        <v>5.1243111111111114E-2</v>
      </c>
      <c r="C180" s="200" t="s">
        <v>7</v>
      </c>
      <c r="D180" s="205">
        <f>IF(B$137&gt;0,B180/B$137,0)</f>
        <v>2.3081484601029408E-6</v>
      </c>
      <c r="G180" s="74"/>
      <c r="H180" s="74"/>
    </row>
    <row r="181" spans="1:8" ht="12.75" customHeight="1" x14ac:dyDescent="0.2">
      <c r="A181" s="203" t="s">
        <v>208</v>
      </c>
      <c r="B181" s="204">
        <f>(Tasks_Per_Second*Percentage_of_Paused_and_Resumed_Tasks)*('BW Data'!F40+'BW Data'!F41)*kbps*Bandwidth_Confidence_Factor</f>
        <v>1.7033466666666667E-2</v>
      </c>
      <c r="C181" s="200" t="s">
        <v>7</v>
      </c>
      <c r="D181" s="205">
        <f>IF(B$137&gt;0,B181/B$137,0)</f>
        <v>7.6724010319421347E-7</v>
      </c>
      <c r="G181" s="74"/>
      <c r="H181" s="74"/>
    </row>
    <row r="182" spans="1:8" ht="12.75" customHeight="1" thickBot="1" x14ac:dyDescent="0.25">
      <c r="A182" s="210" t="s">
        <v>211</v>
      </c>
      <c r="B182" s="204">
        <f>IF(Agent_Task_Wrap_Up_Time&gt;0,Tasks_Per_Second*'BW Data'!F43*kbps*Bandwidth_Confidence_Factor,0)</f>
        <v>0</v>
      </c>
      <c r="C182" s="211" t="s">
        <v>7</v>
      </c>
      <c r="D182" s="205">
        <f>IF(B$137&gt;0,B182/B$137,0)</f>
        <v>0</v>
      </c>
      <c r="G182" s="74"/>
      <c r="H182" s="74"/>
    </row>
    <row r="183" spans="1:8" ht="12.75" customHeight="1" thickBot="1" x14ac:dyDescent="0.25">
      <c r="A183" s="41" t="s">
        <v>61</v>
      </c>
      <c r="B183" s="39">
        <f>SUM(B163:B182)</f>
        <v>2433.4059322444441</v>
      </c>
      <c r="C183" s="40" t="s">
        <v>7</v>
      </c>
      <c r="D183" s="33">
        <f>IF(B$186&gt;0,B183/B$186,0)</f>
        <v>0.33086090298080345</v>
      </c>
      <c r="G183" s="74"/>
      <c r="H183" s="74"/>
    </row>
    <row r="184" spans="1:8" ht="12.75" customHeight="1" thickBot="1" x14ac:dyDescent="0.25">
      <c r="A184" s="41" t="s">
        <v>62</v>
      </c>
      <c r="B184" s="39">
        <f>SUM(B155:B161)</f>
        <v>3820.364336231884</v>
      </c>
      <c r="C184" s="40" t="s">
        <v>7</v>
      </c>
      <c r="D184" s="33">
        <f>IF(B$186&gt;0,B184/B$186,0)</f>
        <v>0.5194403355610645</v>
      </c>
      <c r="G184" s="74"/>
      <c r="H184" s="74"/>
    </row>
    <row r="185" spans="1:8" ht="14.1" customHeight="1" thickBot="1" x14ac:dyDescent="0.25">
      <c r="A185" s="262" t="s">
        <v>249</v>
      </c>
      <c r="B185" s="39">
        <f>(B148*B147)</f>
        <v>1101</v>
      </c>
      <c r="C185" s="40" t="s">
        <v>7</v>
      </c>
      <c r="D185" s="33">
        <v>0</v>
      </c>
      <c r="G185" s="74"/>
      <c r="H185" s="74"/>
    </row>
    <row r="186" spans="1:8" s="18" customFormat="1" ht="15.95" customHeight="1" thickBot="1" x14ac:dyDescent="0.3">
      <c r="A186" s="49" t="s">
        <v>63</v>
      </c>
      <c r="B186" s="50">
        <f>SUM(B183:B185)</f>
        <v>7354.7702684763281</v>
      </c>
      <c r="C186" s="51" t="s">
        <v>7</v>
      </c>
      <c r="D186" s="52">
        <f>SUM(D155:D176)</f>
        <v>0.84714970546013335</v>
      </c>
      <c r="G186" s="75"/>
      <c r="H186" s="75"/>
    </row>
    <row r="187" spans="1:8" ht="12.75" customHeight="1" thickBot="1" x14ac:dyDescent="0.25">
      <c r="A187" s="41" t="s">
        <v>297</v>
      </c>
      <c r="B187" s="39">
        <f>IF(Number_of_Agents&gt;0,SUM(MAX(B163, B169:B170, B173:B174), MAX(B165, B172, B176), MAX(B166, B171, B175), MAX(B167, B172, B176), MAX(B168), B177)/Calls_Per_Second,0)</f>
        <v>163.88840000000002</v>
      </c>
      <c r="C187" s="40" t="s">
        <v>7</v>
      </c>
      <c r="D187" s="33"/>
      <c r="G187" s="74"/>
      <c r="H187" s="74"/>
    </row>
    <row r="188" spans="1:8" ht="12.75" customHeight="1" thickBot="1" x14ac:dyDescent="0.25">
      <c r="A188" s="41" t="s">
        <v>298</v>
      </c>
      <c r="B188" s="39">
        <f>IF(Number_of_Supervisors&gt;0,SUM(B155:B157, SUM(MAX(B169:B176), MAX(B158:B168)))/Calls_Per_Second,0)</f>
        <v>318.19051911111109</v>
      </c>
      <c r="C188" s="40" t="s">
        <v>7</v>
      </c>
      <c r="D188" s="33"/>
      <c r="G188" s="74"/>
      <c r="H188" s="74"/>
    </row>
    <row r="189" spans="1:8" ht="12.75" customHeight="1" x14ac:dyDescent="0.2"/>
    <row r="190" spans="1:8" ht="12.75" customHeight="1" x14ac:dyDescent="0.2"/>
    <row r="191" spans="1:8" ht="12.75" customHeight="1" thickBot="1" x14ac:dyDescent="0.25">
      <c r="A191" s="316" t="s">
        <v>235</v>
      </c>
      <c r="B191" s="317"/>
      <c r="C191" s="317"/>
      <c r="D191" s="318"/>
    </row>
    <row r="192" spans="1:8" ht="12.75" customHeight="1" thickBot="1" x14ac:dyDescent="0.25">
      <c r="A192" s="240" t="s">
        <v>222</v>
      </c>
      <c r="B192" s="241">
        <v>5</v>
      </c>
      <c r="C192" s="242" t="s">
        <v>223</v>
      </c>
      <c r="D192" s="243"/>
    </row>
    <row r="193" spans="1:4" ht="12.75" customHeight="1" thickBot="1" x14ac:dyDescent="0.25">
      <c r="A193" s="240" t="s">
        <v>224</v>
      </c>
      <c r="B193" s="241">
        <v>3</v>
      </c>
      <c r="C193" s="242" t="s">
        <v>225</v>
      </c>
      <c r="D193" s="243"/>
    </row>
    <row r="194" spans="1:4" ht="12.75" customHeight="1" thickBot="1" x14ac:dyDescent="0.25">
      <c r="A194" s="240" t="s">
        <v>226</v>
      </c>
      <c r="B194" s="241">
        <v>100</v>
      </c>
      <c r="C194" s="242"/>
      <c r="D194" s="243"/>
    </row>
    <row r="195" spans="1:4" ht="12.75" customHeight="1" thickBot="1" x14ac:dyDescent="0.25">
      <c r="A195" s="240" t="s">
        <v>227</v>
      </c>
      <c r="B195" s="241">
        <v>50</v>
      </c>
      <c r="C195" s="242"/>
      <c r="D195" s="243"/>
    </row>
    <row r="196" spans="1:4" ht="12.75" customHeight="1" thickBot="1" x14ac:dyDescent="0.25">
      <c r="A196" s="240" t="s">
        <v>228</v>
      </c>
      <c r="B196" s="241">
        <v>0</v>
      </c>
      <c r="C196" s="242" t="s">
        <v>229</v>
      </c>
      <c r="D196" s="243"/>
    </row>
    <row r="197" spans="1:4" ht="12.75" customHeight="1" thickBot="1" x14ac:dyDescent="0.25">
      <c r="A197" s="240" t="s">
        <v>230</v>
      </c>
      <c r="B197" s="241">
        <v>2</v>
      </c>
      <c r="C197" s="244"/>
      <c r="D197" s="243"/>
    </row>
    <row r="198" spans="1:4" ht="44.1" customHeight="1" thickBot="1" x14ac:dyDescent="0.25">
      <c r="A198" s="240" t="s">
        <v>231</v>
      </c>
      <c r="B198" s="241">
        <v>1</v>
      </c>
      <c r="C198" s="244" t="s">
        <v>117</v>
      </c>
      <c r="D198" s="245" t="s">
        <v>234</v>
      </c>
    </row>
    <row r="199" spans="1:4" ht="12.75" customHeight="1" thickBot="1" x14ac:dyDescent="0.25">
      <c r="A199" s="240" t="s">
        <v>232</v>
      </c>
      <c r="B199" s="241">
        <v>1983</v>
      </c>
      <c r="C199" s="244" t="s">
        <v>125</v>
      </c>
      <c r="D199" s="243"/>
    </row>
    <row r="200" spans="1:4" ht="12.75" customHeight="1" thickBot="1" x14ac:dyDescent="0.25">
      <c r="A200" s="240" t="s">
        <v>233</v>
      </c>
      <c r="B200" s="241">
        <v>1000</v>
      </c>
      <c r="C200" s="242"/>
      <c r="D200" s="243"/>
    </row>
    <row r="201" spans="1:4" ht="12.75" customHeight="1" thickBot="1" x14ac:dyDescent="0.25"/>
    <row r="202" spans="1:4" ht="18.600000000000001" customHeight="1" thickBot="1" x14ac:dyDescent="0.3">
      <c r="A202" s="253" t="s">
        <v>239</v>
      </c>
      <c r="B202" s="253"/>
      <c r="C202" s="253"/>
      <c r="D202" s="254"/>
    </row>
    <row r="203" spans="1:4" ht="12.75" customHeight="1" thickBot="1" x14ac:dyDescent="0.25">
      <c r="A203" s="329" t="s">
        <v>81</v>
      </c>
      <c r="B203" s="330"/>
      <c r="C203" s="330"/>
      <c r="D203" s="331"/>
    </row>
    <row r="204" spans="1:4" ht="12.75" hidden="1" customHeight="1" thickBot="1" x14ac:dyDescent="0.25">
      <c r="A204" s="246" t="s">
        <v>236</v>
      </c>
      <c r="B204" s="246">
        <f>((((B192/60*60)* B200* 'BW Data'!E32) +
 (((B193/60)*B194)*B200* 'BW Data'!E33) +
 ((B195*(B197/(60*60))) *B200* 'BW Data'!E34) +
 ((B196/60*60) *B200* (('BW Data'!E35))))/1024) * 'BW Data'!E63+B206</f>
        <v>56378.452175564234</v>
      </c>
      <c r="C204" s="242" t="s">
        <v>7</v>
      </c>
      <c r="D204" s="242"/>
    </row>
    <row r="205" spans="1:4" ht="12.75" customHeight="1" thickBot="1" x14ac:dyDescent="0.25">
      <c r="A205" s="246" t="s">
        <v>237</v>
      </c>
      <c r="B205" s="246">
        <f>(B204*(0.02)+B204)</f>
        <v>57506.021219075519</v>
      </c>
      <c r="C205" s="242" t="s">
        <v>7</v>
      </c>
      <c r="D205" s="242"/>
    </row>
    <row r="206" spans="1:4" ht="12.75" customHeight="1" thickBot="1" x14ac:dyDescent="0.25">
      <c r="A206" s="247" t="s">
        <v>238</v>
      </c>
      <c r="B206" s="247">
        <f>(1280/(1024*30))</f>
        <v>4.1666666666666664E-2</v>
      </c>
      <c r="C206" s="252" t="s">
        <v>7</v>
      </c>
      <c r="D206" s="248"/>
    </row>
    <row r="207" spans="1:4" ht="16.5" customHeight="1" thickBot="1" x14ac:dyDescent="0.3">
      <c r="A207" s="249" t="s">
        <v>63</v>
      </c>
      <c r="B207" s="250">
        <f>B205</f>
        <v>57506.021219075519</v>
      </c>
      <c r="C207" s="252" t="s">
        <v>7</v>
      </c>
      <c r="D207" s="248"/>
    </row>
    <row r="208" spans="1:4" ht="12.75" customHeight="1" thickBot="1" x14ac:dyDescent="0.25">
      <c r="A208" s="247" t="s">
        <v>93</v>
      </c>
      <c r="B208" s="251">
        <f>IF(B200&gt;0,B207/B200,0)</f>
        <v>57.506021219075521</v>
      </c>
      <c r="C208" s="248" t="s">
        <v>7</v>
      </c>
      <c r="D208" s="248"/>
    </row>
    <row r="209" spans="1:4" ht="12.75" customHeight="1" x14ac:dyDescent="0.2"/>
    <row r="210" spans="1:4" ht="33" customHeight="1" x14ac:dyDescent="0.2">
      <c r="A210" s="336" t="s">
        <v>253</v>
      </c>
      <c r="B210" s="337"/>
      <c r="C210" s="337"/>
      <c r="D210" s="338"/>
    </row>
    <row r="211" spans="1:4" ht="15.6" customHeight="1" x14ac:dyDescent="0.25">
      <c r="A211" s="264" t="s">
        <v>252</v>
      </c>
    </row>
    <row r="212" spans="1:4" ht="12.75" customHeight="1" x14ac:dyDescent="0.2"/>
    <row r="213" spans="1:4" ht="57.95" customHeight="1" x14ac:dyDescent="0.2">
      <c r="A213" s="332" t="s">
        <v>256</v>
      </c>
      <c r="B213" s="333"/>
      <c r="C213" s="334"/>
      <c r="D213" s="335"/>
    </row>
    <row r="214" spans="1:4" ht="12.75" customHeight="1" x14ac:dyDescent="0.2">
      <c r="A214" s="325"/>
      <c r="B214" s="325"/>
      <c r="C214" s="302"/>
      <c r="D214" s="302"/>
    </row>
  </sheetData>
  <autoFilter ref="A7:D63" xr:uid="{A6D9E83B-47C7-3E43-88B4-DC2F2FB46822}"/>
  <mergeCells count="28">
    <mergeCell ref="A107:D107"/>
    <mergeCell ref="A46:D46"/>
    <mergeCell ref="A114:D114"/>
    <mergeCell ref="A214:B214"/>
    <mergeCell ref="C214:D214"/>
    <mergeCell ref="A153:D153"/>
    <mergeCell ref="A154:D154"/>
    <mergeCell ref="A162:D162"/>
    <mergeCell ref="A191:D191"/>
    <mergeCell ref="A203:D203"/>
    <mergeCell ref="A213:D213"/>
    <mergeCell ref="A210:D210"/>
    <mergeCell ref="A146:D146"/>
    <mergeCell ref="A106:D106"/>
    <mergeCell ref="A8:D8"/>
    <mergeCell ref="A19:D19"/>
    <mergeCell ref="A29:D29"/>
    <mergeCell ref="D30:D31"/>
    <mergeCell ref="D32:D33"/>
    <mergeCell ref="A24:D24"/>
    <mergeCell ref="D41:D42"/>
    <mergeCell ref="A66:D66"/>
    <mergeCell ref="A99:D99"/>
    <mergeCell ref="A40:D40"/>
    <mergeCell ref="A49:D49"/>
    <mergeCell ref="A52:D52"/>
    <mergeCell ref="A57:D57"/>
    <mergeCell ref="A61:D61"/>
  </mergeCells>
  <conditionalFormatting sqref="B36">
    <cfRule type="cellIs" dxfId="3" priority="3" stopIfTrue="1" operator="equal">
      <formula>1</formula>
    </cfRule>
    <cfRule type="cellIs" dxfId="2" priority="4" stopIfTrue="1" operator="notEqual">
      <formula>1</formula>
    </cfRule>
  </conditionalFormatting>
  <conditionalFormatting sqref="B45">
    <cfRule type="cellIs" dxfId="1" priority="1" stopIfTrue="1" operator="equal">
      <formula>1</formula>
    </cfRule>
    <cfRule type="cellIs" dxfId="0" priority="2" stopIfTrue="1" operator="notEqual">
      <formula>1</formula>
    </cfRule>
  </conditionalFormatting>
  <hyperlinks>
    <hyperlink ref="A211" r:id="rId1" location="reference_CFFA527AF8FC70C96190C86F40C5CB97" xr:uid="{F5B77FB3-1828-45F5-BD25-651E4B3B0969}"/>
    <hyperlink ref="F19" r:id="rId2" display="1*@kbps" xr:uid="{114AC5EB-31D9-6840-8DC3-B5FC18785695}"/>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84"/>
  <sheetViews>
    <sheetView topLeftCell="A78" zoomScale="188" zoomScaleNormal="84" zoomScalePageLayoutView="130" workbookViewId="0">
      <selection activeCell="A58" sqref="A58"/>
    </sheetView>
  </sheetViews>
  <sheetFormatPr defaultColWidth="8.85546875" defaultRowHeight="12.75" x14ac:dyDescent="0.2"/>
  <cols>
    <col min="1" max="1" width="58.140625" customWidth="1"/>
    <col min="2" max="4" width="18.7109375" hidden="1" customWidth="1"/>
    <col min="5" max="6" width="18.7109375" customWidth="1"/>
    <col min="7" max="7" width="10.85546875" customWidth="1"/>
    <col min="8" max="8" width="12.85546875" customWidth="1"/>
    <col min="9" max="9" width="12.42578125" customWidth="1"/>
  </cols>
  <sheetData>
    <row r="1" spans="1:10" ht="13.5" thickBot="1" x14ac:dyDescent="0.25">
      <c r="A1" s="1"/>
    </row>
    <row r="2" spans="1:10" x14ac:dyDescent="0.2">
      <c r="A2" s="345" t="s">
        <v>89</v>
      </c>
      <c r="B2" s="116"/>
      <c r="C2" s="116"/>
      <c r="D2" s="116"/>
      <c r="E2" s="116"/>
      <c r="F2" s="116"/>
      <c r="G2" s="116"/>
      <c r="H2" s="116"/>
      <c r="I2" s="117"/>
    </row>
    <row r="3" spans="1:10" ht="38.25" x14ac:dyDescent="0.2">
      <c r="A3" s="346"/>
      <c r="B3" s="73" t="s">
        <v>129</v>
      </c>
      <c r="C3" s="73" t="s">
        <v>130</v>
      </c>
      <c r="D3" s="73" t="s">
        <v>131</v>
      </c>
      <c r="E3" s="73" t="s">
        <v>294</v>
      </c>
      <c r="F3" s="73" t="s">
        <v>295</v>
      </c>
      <c r="G3" s="73" t="s">
        <v>296</v>
      </c>
      <c r="H3" s="73" t="s">
        <v>285</v>
      </c>
      <c r="I3" s="118" t="s">
        <v>11</v>
      </c>
    </row>
    <row r="4" spans="1:10" x14ac:dyDescent="0.2">
      <c r="A4" s="119" t="s">
        <v>116</v>
      </c>
      <c r="B4" s="115"/>
      <c r="C4" s="130"/>
      <c r="D4" s="130"/>
      <c r="E4" s="130"/>
      <c r="F4" s="130"/>
      <c r="G4" s="130"/>
      <c r="H4" s="130"/>
      <c r="I4" s="230"/>
    </row>
    <row r="5" spans="1:10" x14ac:dyDescent="0.2">
      <c r="A5" s="122" t="s">
        <v>156</v>
      </c>
      <c r="B5" s="225">
        <f>2.8 *1024 * 1024</f>
        <v>2936012.7999999998</v>
      </c>
      <c r="C5" s="226"/>
      <c r="D5" s="227">
        <f>1680+1380</f>
        <v>3060</v>
      </c>
      <c r="E5" s="265">
        <f>(1024*(1172+2157))</f>
        <v>3408896</v>
      </c>
      <c r="F5" s="265">
        <f>(2568+2220)</f>
        <v>4788</v>
      </c>
      <c r="G5" s="231" t="s">
        <v>140</v>
      </c>
      <c r="H5" s="231" t="s">
        <v>140</v>
      </c>
      <c r="I5" s="159" t="s">
        <v>125</v>
      </c>
      <c r="J5" s="4"/>
    </row>
    <row r="6" spans="1:10" x14ac:dyDescent="0.2">
      <c r="A6" s="122" t="s">
        <v>157</v>
      </c>
      <c r="B6" s="225">
        <f>0.8 *1024 * 1024</f>
        <v>838860.80000000005</v>
      </c>
      <c r="C6" s="226"/>
      <c r="D6" s="227" t="s">
        <v>140</v>
      </c>
      <c r="E6" s="266">
        <f>(1024*(127+54))</f>
        <v>185344</v>
      </c>
      <c r="F6" s="266">
        <f>(2364+1554)</f>
        <v>3918</v>
      </c>
      <c r="G6" s="156" t="s">
        <v>140</v>
      </c>
      <c r="H6" s="156" t="s">
        <v>140</v>
      </c>
      <c r="I6" s="167" t="s">
        <v>125</v>
      </c>
      <c r="J6" s="4"/>
    </row>
    <row r="7" spans="1:10" x14ac:dyDescent="0.2">
      <c r="A7" s="122" t="s">
        <v>158</v>
      </c>
      <c r="B7" s="225">
        <f>5.2 *1024 * 1024</f>
        <v>5452595.2000000002</v>
      </c>
      <c r="C7" s="226"/>
      <c r="D7" s="226">
        <f>1338+802</f>
        <v>2140</v>
      </c>
      <c r="E7" s="266">
        <f>(1024*(1302 + 2157))</f>
        <v>3542016</v>
      </c>
      <c r="F7" s="266">
        <f>(3299+4884)</f>
        <v>8183</v>
      </c>
      <c r="G7" s="156" t="s">
        <v>140</v>
      </c>
      <c r="H7" s="156" t="s">
        <v>140</v>
      </c>
      <c r="I7" s="167" t="s">
        <v>125</v>
      </c>
      <c r="J7" s="4"/>
    </row>
    <row r="8" spans="1:10" x14ac:dyDescent="0.2">
      <c r="A8" s="122" t="s">
        <v>159</v>
      </c>
      <c r="B8" s="225">
        <f>2.8 *1024 * 1024</f>
        <v>2936012.7999999998</v>
      </c>
      <c r="C8" s="226"/>
      <c r="D8" s="227" t="s">
        <v>140</v>
      </c>
      <c r="E8" s="266">
        <f>(1024*(114+53))</f>
        <v>171008</v>
      </c>
      <c r="F8" s="266">
        <f>(2477 + 2442)</f>
        <v>4919</v>
      </c>
      <c r="G8" s="156" t="s">
        <v>140</v>
      </c>
      <c r="H8" s="156" t="s">
        <v>140</v>
      </c>
      <c r="I8" s="167" t="s">
        <v>125</v>
      </c>
      <c r="J8" s="4"/>
    </row>
    <row r="9" spans="1:10" x14ac:dyDescent="0.2">
      <c r="A9" s="212" t="s">
        <v>160</v>
      </c>
      <c r="B9" s="72">
        <f>2.8 *1024 * 1024</f>
        <v>2936012.7999999998</v>
      </c>
      <c r="C9" s="144"/>
      <c r="D9" s="137">
        <f>1680+1380</f>
        <v>3060</v>
      </c>
      <c r="E9" s="266">
        <f>(1024*(1196+1860))</f>
        <v>3129344</v>
      </c>
      <c r="F9" s="266">
        <f>(1242 + 5106)</f>
        <v>6348</v>
      </c>
      <c r="G9" s="158" t="s">
        <v>140</v>
      </c>
      <c r="H9" s="158" t="s">
        <v>140</v>
      </c>
      <c r="I9" s="167" t="s">
        <v>125</v>
      </c>
      <c r="J9" s="4"/>
    </row>
    <row r="10" spans="1:10" x14ac:dyDescent="0.2">
      <c r="A10" s="213" t="s">
        <v>161</v>
      </c>
      <c r="B10" s="72">
        <f>0.8 *1024 * 1024</f>
        <v>838860.80000000005</v>
      </c>
      <c r="C10" s="144"/>
      <c r="D10" s="137" t="s">
        <v>140</v>
      </c>
      <c r="E10" s="266">
        <f>(1024*(149 + 8))</f>
        <v>160768</v>
      </c>
      <c r="F10" s="266">
        <f>(552 + 2220)</f>
        <v>2772</v>
      </c>
      <c r="G10" s="158" t="s">
        <v>140</v>
      </c>
      <c r="H10" s="158" t="s">
        <v>140</v>
      </c>
      <c r="I10" s="167" t="s">
        <v>125</v>
      </c>
      <c r="J10" s="4"/>
    </row>
    <row r="11" spans="1:10" x14ac:dyDescent="0.2">
      <c r="A11" s="212" t="s">
        <v>162</v>
      </c>
      <c r="B11" s="72">
        <f>5.2 *1024 * 1024</f>
        <v>5452595.2000000002</v>
      </c>
      <c r="C11" s="144"/>
      <c r="D11" s="131">
        <f>1338+802</f>
        <v>2140</v>
      </c>
      <c r="E11" s="237">
        <f>(1024*(1222 +2161))</f>
        <v>3464192</v>
      </c>
      <c r="F11" s="266">
        <f>(3552 + 690)</f>
        <v>4242</v>
      </c>
      <c r="G11" s="158" t="s">
        <v>140</v>
      </c>
      <c r="H11" s="158" t="s">
        <v>140</v>
      </c>
      <c r="I11" s="167" t="s">
        <v>125</v>
      </c>
      <c r="J11" s="4"/>
    </row>
    <row r="12" spans="1:10" x14ac:dyDescent="0.2">
      <c r="A12" s="214" t="s">
        <v>163</v>
      </c>
      <c r="B12" s="178">
        <f>2.8 *1024 * 1024</f>
        <v>2936012.7999999998</v>
      </c>
      <c r="C12" s="179"/>
      <c r="D12" s="180" t="s">
        <v>140</v>
      </c>
      <c r="E12" s="267">
        <f>(1024*(163 + 8))</f>
        <v>175104</v>
      </c>
      <c r="F12" s="266">
        <f>(552 + 1998)</f>
        <v>2550</v>
      </c>
      <c r="G12" s="181" t="s">
        <v>140</v>
      </c>
      <c r="H12" s="181" t="s">
        <v>140</v>
      </c>
      <c r="I12" s="182" t="s">
        <v>125</v>
      </c>
      <c r="J12" s="4"/>
    </row>
    <row r="13" spans="1:10" x14ac:dyDescent="0.2">
      <c r="A13" s="215" t="s">
        <v>212</v>
      </c>
      <c r="B13" s="5"/>
      <c r="C13" s="148"/>
      <c r="D13" s="136"/>
      <c r="E13" s="183">
        <v>3214</v>
      </c>
      <c r="F13" s="156">
        <v>885</v>
      </c>
      <c r="G13" s="184" t="s">
        <v>140</v>
      </c>
      <c r="H13" s="184" t="s">
        <v>140</v>
      </c>
      <c r="I13" s="184" t="s">
        <v>125</v>
      </c>
    </row>
    <row r="14" spans="1:10" x14ac:dyDescent="0.2">
      <c r="A14" s="215" t="s">
        <v>213</v>
      </c>
      <c r="B14" s="5"/>
      <c r="C14" s="148"/>
      <c r="D14" s="136"/>
      <c r="E14" s="183">
        <v>3160</v>
      </c>
      <c r="F14" s="156">
        <v>885</v>
      </c>
      <c r="G14" s="184" t="s">
        <v>140</v>
      </c>
      <c r="H14" s="184" t="s">
        <v>140</v>
      </c>
      <c r="I14" s="184" t="s">
        <v>125</v>
      </c>
    </row>
    <row r="15" spans="1:10" x14ac:dyDescent="0.2">
      <c r="A15" s="215" t="s">
        <v>214</v>
      </c>
      <c r="B15" s="5"/>
      <c r="C15" s="148"/>
      <c r="D15" s="136"/>
      <c r="E15" s="183">
        <v>6191</v>
      </c>
      <c r="F15" s="156">
        <v>568</v>
      </c>
      <c r="G15" s="184" t="s">
        <v>140</v>
      </c>
      <c r="H15" s="184" t="s">
        <v>140</v>
      </c>
      <c r="I15" s="184" t="s">
        <v>125</v>
      </c>
    </row>
    <row r="16" spans="1:10" x14ac:dyDescent="0.2">
      <c r="A16" s="215" t="s">
        <v>215</v>
      </c>
      <c r="B16" s="5"/>
      <c r="C16" s="148"/>
      <c r="D16" s="136"/>
      <c r="E16" s="183">
        <v>3200</v>
      </c>
      <c r="F16" s="156">
        <v>568</v>
      </c>
      <c r="G16" s="184" t="s">
        <v>140</v>
      </c>
      <c r="H16" s="184" t="s">
        <v>140</v>
      </c>
      <c r="I16" s="184" t="s">
        <v>125</v>
      </c>
    </row>
    <row r="17" spans="1:9" x14ac:dyDescent="0.2">
      <c r="A17" s="349" t="s">
        <v>88</v>
      </c>
      <c r="B17" s="350"/>
      <c r="C17" s="145"/>
      <c r="D17" s="132"/>
      <c r="E17" s="132"/>
      <c r="F17" s="164"/>
      <c r="G17" s="164"/>
      <c r="H17" s="164"/>
      <c r="I17" s="168"/>
    </row>
    <row r="18" spans="1:9" x14ac:dyDescent="0.2">
      <c r="A18" s="121" t="s">
        <v>127</v>
      </c>
      <c r="B18" s="72">
        <v>1275</v>
      </c>
      <c r="C18" s="144"/>
      <c r="D18" s="137" t="s">
        <v>140</v>
      </c>
      <c r="E18" s="153"/>
      <c r="F18" s="158" t="s">
        <v>140</v>
      </c>
      <c r="G18" s="158" t="s">
        <v>140</v>
      </c>
      <c r="H18" s="158" t="s">
        <v>140</v>
      </c>
      <c r="I18" s="167" t="s">
        <v>125</v>
      </c>
    </row>
    <row r="19" spans="1:9" x14ac:dyDescent="0.2">
      <c r="A19" s="120" t="s">
        <v>90</v>
      </c>
      <c r="B19" s="5">
        <v>790</v>
      </c>
      <c r="C19" s="144"/>
      <c r="D19" s="131">
        <v>737</v>
      </c>
      <c r="E19" s="154">
        <v>1536</v>
      </c>
      <c r="F19" s="160">
        <v>717</v>
      </c>
      <c r="G19" s="158" t="s">
        <v>140</v>
      </c>
      <c r="H19" s="158" t="s">
        <v>140</v>
      </c>
      <c r="I19" s="167" t="s">
        <v>125</v>
      </c>
    </row>
    <row r="20" spans="1:9" x14ac:dyDescent="0.2">
      <c r="A20" s="349" t="s">
        <v>291</v>
      </c>
      <c r="B20" s="350"/>
      <c r="C20" s="145"/>
      <c r="D20" s="132"/>
      <c r="E20" s="132"/>
      <c r="F20" s="164"/>
      <c r="G20" s="164"/>
      <c r="H20" s="164"/>
      <c r="I20" s="168"/>
    </row>
    <row r="21" spans="1:9" x14ac:dyDescent="0.2">
      <c r="A21" s="288" t="s">
        <v>287</v>
      </c>
      <c r="B21" s="281">
        <v>1275</v>
      </c>
      <c r="C21" s="144"/>
      <c r="D21" s="137" t="s">
        <v>140</v>
      </c>
      <c r="E21" s="153">
        <f>229700+78290+2350+1140</f>
        <v>311480</v>
      </c>
      <c r="F21" s="158" t="s">
        <v>140</v>
      </c>
      <c r="G21" s="158" t="s">
        <v>140</v>
      </c>
      <c r="H21" s="158">
        <f>534350+839</f>
        <v>535189</v>
      </c>
      <c r="I21" s="167" t="s">
        <v>125</v>
      </c>
    </row>
    <row r="22" spans="1:9" x14ac:dyDescent="0.2">
      <c r="A22" s="288" t="s">
        <v>286</v>
      </c>
      <c r="B22" s="281">
        <v>1275</v>
      </c>
      <c r="C22" s="144"/>
      <c r="D22" s="137" t="s">
        <v>140</v>
      </c>
      <c r="E22" s="158" t="s">
        <v>140</v>
      </c>
      <c r="F22" s="158" t="s">
        <v>140</v>
      </c>
      <c r="G22" s="158" t="s">
        <v>140</v>
      </c>
      <c r="H22" s="285">
        <f>((508 * 2 )+ 966 + 30300) / 60</f>
        <v>538.0333333333333</v>
      </c>
      <c r="I22" s="167" t="s">
        <v>125</v>
      </c>
    </row>
    <row r="23" spans="1:9" x14ac:dyDescent="0.2">
      <c r="A23" s="120" t="s">
        <v>306</v>
      </c>
      <c r="B23" s="282">
        <v>790</v>
      </c>
      <c r="C23" s="144"/>
      <c r="D23" s="131">
        <v>737</v>
      </c>
      <c r="E23" s="158" t="s">
        <v>140</v>
      </c>
      <c r="F23" s="160" t="s">
        <v>140</v>
      </c>
      <c r="G23" s="158" t="s">
        <v>140</v>
      </c>
      <c r="H23" s="285">
        <f>(966 + 30500) / 60</f>
        <v>524.43333333333328</v>
      </c>
      <c r="I23" s="167" t="s">
        <v>125</v>
      </c>
    </row>
    <row r="24" spans="1:9" x14ac:dyDescent="0.2">
      <c r="A24" s="347" t="s">
        <v>14</v>
      </c>
      <c r="B24" s="348"/>
      <c r="C24" s="146"/>
      <c r="D24" s="133"/>
      <c r="E24" s="133"/>
      <c r="F24" s="165"/>
      <c r="G24" s="165"/>
      <c r="H24" s="165"/>
      <c r="I24" s="168"/>
    </row>
    <row r="25" spans="1:9" x14ac:dyDescent="0.2">
      <c r="A25" s="122" t="s">
        <v>15</v>
      </c>
      <c r="B25" s="5">
        <v>25020</v>
      </c>
      <c r="C25" s="144"/>
      <c r="D25" s="131">
        <v>3259</v>
      </c>
      <c r="E25" s="237">
        <f>(1024*29)</f>
        <v>29696</v>
      </c>
      <c r="F25" s="266">
        <f>(414+7333)</f>
        <v>7747</v>
      </c>
      <c r="G25" s="158" t="s">
        <v>140</v>
      </c>
      <c r="H25" s="158" t="s">
        <v>140</v>
      </c>
      <c r="I25" s="167" t="s">
        <v>125</v>
      </c>
    </row>
    <row r="26" spans="1:9" x14ac:dyDescent="0.2">
      <c r="A26" s="122" t="s">
        <v>16</v>
      </c>
      <c r="B26" s="5">
        <v>38785</v>
      </c>
      <c r="C26" s="144"/>
      <c r="D26" s="131">
        <v>3387</v>
      </c>
      <c r="E26" s="237">
        <f>(1024*47)</f>
        <v>48128</v>
      </c>
      <c r="F26" s="266">
        <f>(8862+414)</f>
        <v>9276</v>
      </c>
      <c r="G26" s="158" t="s">
        <v>140</v>
      </c>
      <c r="H26" s="158" t="s">
        <v>140</v>
      </c>
      <c r="I26" s="167" t="s">
        <v>125</v>
      </c>
    </row>
    <row r="27" spans="1:9" x14ac:dyDescent="0.2">
      <c r="A27" s="122" t="s">
        <v>17</v>
      </c>
      <c r="B27" s="5">
        <v>64177</v>
      </c>
      <c r="C27" s="144"/>
      <c r="D27" s="131">
        <v>5606</v>
      </c>
      <c r="E27" s="237">
        <f>(1024*180)</f>
        <v>184320</v>
      </c>
      <c r="F27" s="266">
        <f>(1024*13)+828</f>
        <v>14140</v>
      </c>
      <c r="G27" s="158" t="s">
        <v>140</v>
      </c>
      <c r="H27" s="158" t="s">
        <v>140</v>
      </c>
      <c r="I27" s="167" t="s">
        <v>125</v>
      </c>
    </row>
    <row r="28" spans="1:9" x14ac:dyDescent="0.2">
      <c r="A28" s="122" t="s">
        <v>18</v>
      </c>
      <c r="B28" s="5">
        <v>79757</v>
      </c>
      <c r="C28" s="144"/>
      <c r="D28" s="131">
        <v>6236</v>
      </c>
      <c r="E28" s="237">
        <f>(1024*97)</f>
        <v>99328</v>
      </c>
      <c r="F28" s="266">
        <f>(1024*13)+690</f>
        <v>14002</v>
      </c>
      <c r="G28" s="158" t="s">
        <v>140</v>
      </c>
      <c r="H28" s="158" t="s">
        <v>140</v>
      </c>
      <c r="I28" s="167" t="s">
        <v>125</v>
      </c>
    </row>
    <row r="29" spans="1:9" x14ac:dyDescent="0.2">
      <c r="A29" s="120" t="s">
        <v>132</v>
      </c>
      <c r="B29" s="5"/>
      <c r="C29" s="144"/>
      <c r="D29" s="131">
        <v>6601</v>
      </c>
      <c r="E29" s="237">
        <f>(1024*80)</f>
        <v>81920</v>
      </c>
      <c r="F29" s="266">
        <f>(1024*12)+414</f>
        <v>12702</v>
      </c>
      <c r="G29" s="158" t="s">
        <v>140</v>
      </c>
      <c r="H29" s="158" t="s">
        <v>140</v>
      </c>
      <c r="I29" s="167" t="s">
        <v>125</v>
      </c>
    </row>
    <row r="30" spans="1:9" x14ac:dyDescent="0.2">
      <c r="A30" s="120" t="s">
        <v>91</v>
      </c>
      <c r="B30" s="5">
        <v>17213</v>
      </c>
      <c r="C30" s="144"/>
      <c r="D30" s="131">
        <v>455</v>
      </c>
      <c r="E30" s="157">
        <f>(1024*50)</f>
        <v>51200</v>
      </c>
      <c r="F30" s="156">
        <f>(4713+414)</f>
        <v>5127</v>
      </c>
      <c r="G30" s="160" t="s">
        <v>140</v>
      </c>
      <c r="H30" s="160" t="s">
        <v>140</v>
      </c>
      <c r="I30" s="167" t="s">
        <v>125</v>
      </c>
    </row>
    <row r="31" spans="1:9" x14ac:dyDescent="0.2">
      <c r="A31" s="347" t="s">
        <v>216</v>
      </c>
      <c r="B31" s="348"/>
      <c r="C31" s="146"/>
      <c r="D31" s="133"/>
      <c r="E31" s="133"/>
      <c r="F31" s="133"/>
      <c r="G31" s="133"/>
      <c r="H31" s="133"/>
      <c r="I31" s="236"/>
    </row>
    <row r="32" spans="1:9" x14ac:dyDescent="0.2">
      <c r="A32" s="120" t="s">
        <v>217</v>
      </c>
      <c r="B32" s="5">
        <v>25020</v>
      </c>
      <c r="C32" s="144"/>
      <c r="D32" s="131">
        <v>3259</v>
      </c>
      <c r="E32" s="237">
        <v>5993</v>
      </c>
      <c r="F32" s="237" t="s">
        <v>218</v>
      </c>
      <c r="G32" s="237" t="s">
        <v>218</v>
      </c>
      <c r="H32" s="237" t="s">
        <v>218</v>
      </c>
      <c r="I32" s="167" t="s">
        <v>125</v>
      </c>
    </row>
    <row r="33" spans="1:9" x14ac:dyDescent="0.2">
      <c r="A33" s="120" t="s">
        <v>219</v>
      </c>
      <c r="B33" s="5">
        <v>25020</v>
      </c>
      <c r="C33" s="144"/>
      <c r="D33" s="131">
        <v>3259</v>
      </c>
      <c r="E33" s="237">
        <v>2882</v>
      </c>
      <c r="F33" s="237" t="s">
        <v>218</v>
      </c>
      <c r="G33" s="237" t="s">
        <v>218</v>
      </c>
      <c r="H33" s="237" t="s">
        <v>218</v>
      </c>
      <c r="I33" s="167" t="s">
        <v>125</v>
      </c>
    </row>
    <row r="34" spans="1:9" x14ac:dyDescent="0.2">
      <c r="A34" s="120" t="s">
        <v>220</v>
      </c>
      <c r="B34" s="5">
        <v>25020</v>
      </c>
      <c r="C34" s="144"/>
      <c r="D34" s="131">
        <v>3259</v>
      </c>
      <c r="E34" s="237">
        <f>(4873/4)</f>
        <v>1218.25</v>
      </c>
      <c r="F34" s="237" t="s">
        <v>218</v>
      </c>
      <c r="G34" s="237" t="s">
        <v>218</v>
      </c>
      <c r="H34" s="237" t="s">
        <v>218</v>
      </c>
      <c r="I34" s="167" t="s">
        <v>125</v>
      </c>
    </row>
    <row r="35" spans="1:9" x14ac:dyDescent="0.2">
      <c r="A35" s="120" t="s">
        <v>221</v>
      </c>
      <c r="B35" s="5">
        <v>25020</v>
      </c>
      <c r="C35" s="144"/>
      <c r="D35" s="131">
        <v>3259</v>
      </c>
      <c r="E35" s="237">
        <f>((1837*1024)/25)</f>
        <v>75243.520000000004</v>
      </c>
      <c r="F35" s="237" t="s">
        <v>218</v>
      </c>
      <c r="G35" s="237" t="s">
        <v>218</v>
      </c>
      <c r="H35" s="237" t="s">
        <v>218</v>
      </c>
      <c r="I35" s="167" t="s">
        <v>125</v>
      </c>
    </row>
    <row r="36" spans="1:9" x14ac:dyDescent="0.2">
      <c r="A36" s="232"/>
      <c r="B36" s="233"/>
      <c r="C36" s="234"/>
      <c r="D36" s="235"/>
      <c r="E36" s="238"/>
      <c r="F36" s="238"/>
      <c r="G36" s="238"/>
      <c r="H36" s="238"/>
      <c r="I36" s="239"/>
    </row>
    <row r="37" spans="1:9" x14ac:dyDescent="0.2">
      <c r="A37" s="347" t="s">
        <v>164</v>
      </c>
      <c r="B37" s="348"/>
      <c r="C37" s="146"/>
      <c r="D37" s="133"/>
      <c r="E37" s="133"/>
      <c r="F37" s="165"/>
      <c r="G37" s="165"/>
      <c r="H37" s="165"/>
      <c r="I37" s="168"/>
    </row>
    <row r="38" spans="1:9" x14ac:dyDescent="0.2">
      <c r="A38" s="216" t="s">
        <v>165</v>
      </c>
      <c r="B38" s="5">
        <v>25020</v>
      </c>
      <c r="C38" s="144"/>
      <c r="D38" s="131">
        <v>3259</v>
      </c>
      <c r="E38" s="157">
        <v>13416</v>
      </c>
      <c r="F38" s="160">
        <v>2584</v>
      </c>
      <c r="G38" s="160" t="s">
        <v>140</v>
      </c>
      <c r="H38" s="160" t="s">
        <v>140</v>
      </c>
      <c r="I38" s="167" t="s">
        <v>125</v>
      </c>
    </row>
    <row r="39" spans="1:9" x14ac:dyDescent="0.2">
      <c r="A39" s="216" t="s">
        <v>209</v>
      </c>
      <c r="B39" s="5">
        <v>64177</v>
      </c>
      <c r="C39" s="144"/>
      <c r="D39" s="131">
        <v>5606</v>
      </c>
      <c r="E39" s="157">
        <v>18782</v>
      </c>
      <c r="F39" s="160">
        <v>4145</v>
      </c>
      <c r="G39" s="158" t="s">
        <v>140</v>
      </c>
      <c r="H39" s="158" t="s">
        <v>140</v>
      </c>
      <c r="I39" s="167" t="s">
        <v>125</v>
      </c>
    </row>
    <row r="40" spans="1:9" x14ac:dyDescent="0.2">
      <c r="A40" s="216" t="s">
        <v>166</v>
      </c>
      <c r="B40" s="5">
        <v>79757</v>
      </c>
      <c r="C40" s="144"/>
      <c r="D40" s="131">
        <v>6236</v>
      </c>
      <c r="E40" s="157">
        <v>6724</v>
      </c>
      <c r="F40" s="160">
        <v>840</v>
      </c>
      <c r="G40" s="158" t="s">
        <v>140</v>
      </c>
      <c r="H40" s="158" t="s">
        <v>140</v>
      </c>
      <c r="I40" s="167" t="s">
        <v>125</v>
      </c>
    </row>
    <row r="41" spans="1:9" x14ac:dyDescent="0.2">
      <c r="A41" s="213" t="s">
        <v>167</v>
      </c>
      <c r="B41" s="5"/>
      <c r="C41" s="144"/>
      <c r="D41" s="131">
        <v>6601</v>
      </c>
      <c r="E41" s="157">
        <v>6426</v>
      </c>
      <c r="F41" s="160">
        <v>1062</v>
      </c>
      <c r="G41" s="158" t="s">
        <v>140</v>
      </c>
      <c r="H41" s="158" t="s">
        <v>140</v>
      </c>
      <c r="I41" s="167" t="s">
        <v>125</v>
      </c>
    </row>
    <row r="42" spans="1:9" x14ac:dyDescent="0.2">
      <c r="A42" s="213" t="s">
        <v>210</v>
      </c>
      <c r="B42" s="5"/>
      <c r="C42" s="144"/>
      <c r="D42" s="131"/>
      <c r="E42" s="157">
        <v>73474</v>
      </c>
      <c r="F42" s="160">
        <v>8869</v>
      </c>
      <c r="G42" s="158" t="s">
        <v>140</v>
      </c>
      <c r="H42" s="158" t="s">
        <v>140</v>
      </c>
      <c r="I42" s="167" t="s">
        <v>125</v>
      </c>
    </row>
    <row r="43" spans="1:9" x14ac:dyDescent="0.2">
      <c r="A43" s="217" t="s">
        <v>91</v>
      </c>
      <c r="B43" s="5">
        <v>17213</v>
      </c>
      <c r="C43" s="144"/>
      <c r="D43" s="131">
        <v>455</v>
      </c>
      <c r="E43" s="157">
        <v>7538</v>
      </c>
      <c r="F43" s="160">
        <v>1062</v>
      </c>
      <c r="G43" s="160" t="s">
        <v>140</v>
      </c>
      <c r="H43" s="160" t="s">
        <v>140</v>
      </c>
      <c r="I43" s="167" t="s">
        <v>125</v>
      </c>
    </row>
    <row r="44" spans="1:9" x14ac:dyDescent="0.2">
      <c r="A44" s="347" t="s">
        <v>21</v>
      </c>
      <c r="B44" s="348"/>
      <c r="C44" s="146"/>
      <c r="D44" s="133"/>
      <c r="E44" s="133"/>
      <c r="F44" s="165"/>
      <c r="G44" s="165"/>
      <c r="H44" s="165"/>
      <c r="I44" s="168"/>
    </row>
    <row r="45" spans="1:9" hidden="1" x14ac:dyDescent="0.2">
      <c r="A45" s="122" t="s">
        <v>0</v>
      </c>
      <c r="B45" s="5"/>
      <c r="C45" s="147"/>
      <c r="D45" s="134"/>
      <c r="E45" s="134"/>
      <c r="F45" s="166"/>
      <c r="G45" s="166"/>
      <c r="H45" s="166"/>
      <c r="I45" s="169"/>
    </row>
    <row r="46" spans="1:9" x14ac:dyDescent="0.2">
      <c r="A46" s="122" t="s">
        <v>42</v>
      </c>
      <c r="B46" s="5">
        <v>185</v>
      </c>
      <c r="C46" s="144"/>
      <c r="D46" s="137" t="s">
        <v>140</v>
      </c>
      <c r="E46" s="158">
        <v>164</v>
      </c>
      <c r="F46" s="158" t="s">
        <v>140</v>
      </c>
      <c r="G46" s="158" t="s">
        <v>140</v>
      </c>
      <c r="H46" s="158" t="s">
        <v>140</v>
      </c>
      <c r="I46" s="167" t="s">
        <v>125</v>
      </c>
    </row>
    <row r="47" spans="1:9" x14ac:dyDescent="0.2">
      <c r="A47" s="347" t="s">
        <v>22</v>
      </c>
      <c r="B47" s="348"/>
      <c r="C47" s="145"/>
      <c r="D47" s="132"/>
      <c r="E47" s="132"/>
      <c r="F47" s="164"/>
      <c r="G47" s="164"/>
      <c r="H47" s="164"/>
      <c r="I47" s="168"/>
    </row>
    <row r="48" spans="1:9" hidden="1" x14ac:dyDescent="0.2">
      <c r="A48" s="122" t="s">
        <v>0</v>
      </c>
      <c r="B48" s="5"/>
      <c r="C48" s="147"/>
      <c r="D48" s="134"/>
      <c r="E48" s="134"/>
      <c r="F48" s="166"/>
      <c r="G48" s="166"/>
      <c r="H48" s="166"/>
      <c r="I48" s="169"/>
    </row>
    <row r="49" spans="1:9" x14ac:dyDescent="0.2">
      <c r="A49" s="122" t="s">
        <v>42</v>
      </c>
      <c r="B49" s="5">
        <v>0</v>
      </c>
      <c r="C49" s="147"/>
      <c r="D49" s="134"/>
      <c r="E49" s="159">
        <v>204</v>
      </c>
      <c r="F49" s="158" t="s">
        <v>140</v>
      </c>
      <c r="G49" s="158" t="s">
        <v>140</v>
      </c>
      <c r="H49" s="158" t="s">
        <v>140</v>
      </c>
      <c r="I49" s="159" t="s">
        <v>125</v>
      </c>
    </row>
    <row r="50" spans="1:9" x14ac:dyDescent="0.2">
      <c r="A50" s="347" t="s">
        <v>299</v>
      </c>
      <c r="B50" s="348"/>
      <c r="C50" s="146"/>
      <c r="D50" s="133"/>
      <c r="E50" s="133"/>
      <c r="F50" s="165"/>
      <c r="G50" s="165"/>
      <c r="H50" s="165"/>
      <c r="I50" s="168"/>
    </row>
    <row r="51" spans="1:9" x14ac:dyDescent="0.2">
      <c r="A51" s="120" t="s">
        <v>305</v>
      </c>
      <c r="B51" s="5">
        <v>0</v>
      </c>
      <c r="C51" s="147"/>
      <c r="D51" s="134"/>
      <c r="E51" s="159">
        <v>50</v>
      </c>
      <c r="F51" s="158" t="s">
        <v>140</v>
      </c>
      <c r="G51" s="158" t="s">
        <v>140</v>
      </c>
      <c r="H51" s="158" t="s">
        <v>140</v>
      </c>
      <c r="I51" s="159" t="s">
        <v>125</v>
      </c>
    </row>
    <row r="52" spans="1:9" x14ac:dyDescent="0.2">
      <c r="A52" s="232" t="s">
        <v>300</v>
      </c>
      <c r="B52" s="233"/>
      <c r="C52" s="147"/>
      <c r="D52" s="134"/>
      <c r="E52" s="292">
        <v>70</v>
      </c>
      <c r="F52" s="292"/>
      <c r="G52" s="292"/>
      <c r="H52" s="292"/>
      <c r="I52" s="292"/>
    </row>
    <row r="53" spans="1:9" x14ac:dyDescent="0.2">
      <c r="A53" s="347" t="s">
        <v>112</v>
      </c>
      <c r="B53" s="348"/>
      <c r="C53" s="146"/>
      <c r="D53" s="133"/>
      <c r="E53" s="133"/>
      <c r="F53" s="165"/>
      <c r="G53" s="165"/>
      <c r="H53" s="165"/>
      <c r="I53" s="168"/>
    </row>
    <row r="54" spans="1:9" x14ac:dyDescent="0.2">
      <c r="A54" s="122" t="s">
        <v>86</v>
      </c>
      <c r="B54" s="228">
        <v>44642</v>
      </c>
      <c r="C54" s="226"/>
      <c r="D54" s="226">
        <v>3038</v>
      </c>
      <c r="E54" s="237">
        <f>(1024*117)</f>
        <v>119808</v>
      </c>
      <c r="F54" s="237">
        <f>(3494+138)</f>
        <v>3632</v>
      </c>
      <c r="G54" s="157" t="s">
        <v>140</v>
      </c>
      <c r="H54" s="157" t="s">
        <v>140</v>
      </c>
      <c r="I54" s="167" t="s">
        <v>125</v>
      </c>
    </row>
    <row r="55" spans="1:9" x14ac:dyDescent="0.2">
      <c r="A55" s="122" t="s">
        <v>87</v>
      </c>
      <c r="B55" s="228">
        <v>1797</v>
      </c>
      <c r="C55" s="226"/>
      <c r="D55" s="226">
        <v>588</v>
      </c>
      <c r="E55" s="237">
        <f>(1024*15)</f>
        <v>15360</v>
      </c>
      <c r="F55" s="237">
        <f>(834+138)</f>
        <v>972</v>
      </c>
      <c r="G55" s="157" t="s">
        <v>140</v>
      </c>
      <c r="H55" s="157" t="s">
        <v>140</v>
      </c>
      <c r="I55" s="167" t="s">
        <v>125</v>
      </c>
    </row>
    <row r="56" spans="1:9" x14ac:dyDescent="0.2">
      <c r="A56" s="122" t="s">
        <v>133</v>
      </c>
      <c r="B56" s="228"/>
      <c r="C56" s="228"/>
      <c r="D56" s="228">
        <v>5622</v>
      </c>
      <c r="E56" s="237">
        <f>(1024*166)</f>
        <v>169984</v>
      </c>
      <c r="F56" s="237">
        <f>(1024*10)</f>
        <v>10240</v>
      </c>
      <c r="G56" s="157" t="s">
        <v>140</v>
      </c>
      <c r="H56" s="157" t="s">
        <v>140</v>
      </c>
      <c r="I56" s="167" t="s">
        <v>125</v>
      </c>
    </row>
    <row r="57" spans="1:9" x14ac:dyDescent="0.2">
      <c r="A57" s="122" t="s">
        <v>134</v>
      </c>
      <c r="B57" s="228"/>
      <c r="C57" s="228"/>
      <c r="D57" s="228">
        <v>1356</v>
      </c>
      <c r="E57" s="237">
        <f>(1024*18)</f>
        <v>18432</v>
      </c>
      <c r="F57" s="237">
        <v>1174</v>
      </c>
      <c r="G57" s="157" t="s">
        <v>140</v>
      </c>
      <c r="H57" s="157" t="s">
        <v>140</v>
      </c>
      <c r="I57" s="167" t="s">
        <v>125</v>
      </c>
    </row>
    <row r="58" spans="1:9" x14ac:dyDescent="0.2">
      <c r="A58" s="122" t="s">
        <v>302</v>
      </c>
      <c r="B58" s="228"/>
      <c r="C58" s="228"/>
      <c r="D58" s="228">
        <v>1356</v>
      </c>
      <c r="E58" s="237">
        <f>(1024*10)</f>
        <v>10240</v>
      </c>
      <c r="F58" s="237">
        <f>(16 *1024+966)</f>
        <v>17350</v>
      </c>
      <c r="G58" s="157" t="s">
        <v>140</v>
      </c>
      <c r="H58" s="157" t="s">
        <v>140</v>
      </c>
      <c r="I58" s="167" t="s">
        <v>125</v>
      </c>
    </row>
    <row r="59" spans="1:9" ht="13.5" hidden="1" thickBot="1" x14ac:dyDescent="0.25">
      <c r="A59" s="341" t="s">
        <v>153</v>
      </c>
      <c r="B59" s="342"/>
      <c r="C59" s="134"/>
      <c r="D59" s="134"/>
      <c r="E59" s="341"/>
      <c r="F59" s="342"/>
      <c r="G59" s="342"/>
      <c r="H59" s="280"/>
      <c r="I59" s="168"/>
    </row>
    <row r="60" spans="1:9" hidden="1" x14ac:dyDescent="0.2">
      <c r="A60" s="175" t="s">
        <v>154</v>
      </c>
      <c r="B60" s="174"/>
      <c r="C60" s="174"/>
      <c r="D60" s="174"/>
      <c r="E60" s="174"/>
      <c r="F60" s="174" t="s">
        <v>140</v>
      </c>
      <c r="G60" s="158" t="s">
        <v>140</v>
      </c>
      <c r="H60" s="158" t="s">
        <v>140</v>
      </c>
      <c r="I60" s="170"/>
    </row>
    <row r="61" spans="1:9" ht="13.5" hidden="1" thickBot="1" x14ac:dyDescent="0.25">
      <c r="A61" s="176" t="s">
        <v>155</v>
      </c>
      <c r="B61" s="125"/>
      <c r="C61" s="125"/>
      <c r="D61" s="125"/>
      <c r="E61" s="125" t="s">
        <v>140</v>
      </c>
      <c r="F61" s="125" t="s">
        <v>140</v>
      </c>
      <c r="G61" s="158" t="s">
        <v>140</v>
      </c>
      <c r="H61" s="158" t="s">
        <v>140</v>
      </c>
      <c r="I61" s="170" t="s">
        <v>125</v>
      </c>
    </row>
    <row r="62" spans="1:9" x14ac:dyDescent="0.2">
      <c r="A62" s="343" t="s">
        <v>59</v>
      </c>
      <c r="B62" s="344"/>
      <c r="C62" s="135"/>
      <c r="D62" s="135"/>
      <c r="E62" s="135"/>
      <c r="F62" s="165"/>
      <c r="G62" s="165"/>
      <c r="H62" s="165"/>
      <c r="I62" s="168"/>
    </row>
    <row r="63" spans="1:9" x14ac:dyDescent="0.2">
      <c r="A63" s="123" t="s">
        <v>60</v>
      </c>
      <c r="B63" s="5">
        <v>1.3</v>
      </c>
      <c r="C63" s="131">
        <v>1.3</v>
      </c>
      <c r="D63" s="131">
        <v>1.3</v>
      </c>
      <c r="E63" s="160">
        <v>1.3</v>
      </c>
      <c r="F63" s="160">
        <v>1.3</v>
      </c>
      <c r="G63" s="160">
        <v>1.3</v>
      </c>
      <c r="H63" s="160">
        <v>1.3</v>
      </c>
      <c r="I63" s="167"/>
    </row>
    <row r="64" spans="1:9" x14ac:dyDescent="0.2">
      <c r="A64" s="343" t="s">
        <v>97</v>
      </c>
      <c r="B64" s="344"/>
      <c r="C64" s="135"/>
      <c r="D64" s="135"/>
      <c r="E64" s="135"/>
      <c r="F64" s="165"/>
      <c r="G64" s="165"/>
      <c r="H64" s="165"/>
      <c r="I64" s="168"/>
    </row>
    <row r="65" spans="1:9" x14ac:dyDescent="0.2">
      <c r="A65" s="124" t="s">
        <v>94</v>
      </c>
      <c r="B65" s="5">
        <v>7</v>
      </c>
      <c r="C65" s="5">
        <v>7</v>
      </c>
      <c r="D65" s="5">
        <v>7</v>
      </c>
      <c r="E65" s="161">
        <v>7</v>
      </c>
      <c r="F65" s="161">
        <v>7</v>
      </c>
      <c r="G65" s="161">
        <v>7</v>
      </c>
      <c r="H65" s="157" t="s">
        <v>140</v>
      </c>
      <c r="I65" s="171"/>
    </row>
    <row r="66" spans="1:9" x14ac:dyDescent="0.2">
      <c r="A66" s="124" t="s">
        <v>95</v>
      </c>
      <c r="B66" s="5">
        <v>8</v>
      </c>
      <c r="C66" s="5">
        <v>8</v>
      </c>
      <c r="D66" s="5">
        <v>8</v>
      </c>
      <c r="E66" s="161">
        <v>8</v>
      </c>
      <c r="F66" s="161">
        <v>8</v>
      </c>
      <c r="G66" s="161">
        <v>8</v>
      </c>
      <c r="H66" s="157" t="s">
        <v>140</v>
      </c>
      <c r="I66" s="171"/>
    </row>
    <row r="67" spans="1:9" x14ac:dyDescent="0.2">
      <c r="A67" s="218" t="s">
        <v>168</v>
      </c>
      <c r="B67" s="5">
        <v>7</v>
      </c>
      <c r="C67" s="5">
        <v>7</v>
      </c>
      <c r="D67" s="5">
        <v>7</v>
      </c>
      <c r="E67" s="161">
        <v>7</v>
      </c>
      <c r="F67" s="161">
        <v>7</v>
      </c>
      <c r="G67" s="161">
        <v>7</v>
      </c>
      <c r="H67" s="157" t="s">
        <v>140</v>
      </c>
      <c r="I67" s="171"/>
    </row>
    <row r="68" spans="1:9" x14ac:dyDescent="0.2">
      <c r="A68" s="218" t="s">
        <v>169</v>
      </c>
      <c r="B68" s="5">
        <v>8</v>
      </c>
      <c r="C68" s="5">
        <v>8</v>
      </c>
      <c r="D68" s="5">
        <v>8</v>
      </c>
      <c r="E68" s="161">
        <v>8</v>
      </c>
      <c r="F68" s="161">
        <v>8</v>
      </c>
      <c r="G68" s="161">
        <v>8</v>
      </c>
      <c r="H68" s="157" t="s">
        <v>140</v>
      </c>
      <c r="I68" s="171"/>
    </row>
    <row r="69" spans="1:9" x14ac:dyDescent="0.2">
      <c r="A69" s="124" t="s">
        <v>96</v>
      </c>
      <c r="B69" s="5">
        <v>10</v>
      </c>
      <c r="C69" s="5">
        <v>10</v>
      </c>
      <c r="D69" s="5">
        <v>10</v>
      </c>
      <c r="E69" s="161">
        <v>10</v>
      </c>
      <c r="F69" s="161">
        <v>10</v>
      </c>
      <c r="G69" s="161">
        <v>10</v>
      </c>
      <c r="H69" s="157" t="s">
        <v>140</v>
      </c>
      <c r="I69" s="171"/>
    </row>
    <row r="70" spans="1:9" x14ac:dyDescent="0.2">
      <c r="A70" s="124" t="s">
        <v>98</v>
      </c>
      <c r="B70" s="5">
        <v>3</v>
      </c>
      <c r="C70" s="5">
        <v>3</v>
      </c>
      <c r="D70" s="136" t="s">
        <v>140</v>
      </c>
      <c r="E70" s="159" t="s">
        <v>140</v>
      </c>
      <c r="F70" s="159" t="s">
        <v>140</v>
      </c>
      <c r="G70" s="159" t="s">
        <v>140</v>
      </c>
      <c r="H70" s="157" t="s">
        <v>140</v>
      </c>
      <c r="I70" s="171"/>
    </row>
    <row r="71" spans="1:9" x14ac:dyDescent="0.2">
      <c r="A71" s="124" t="s">
        <v>99</v>
      </c>
      <c r="B71" s="5">
        <v>15</v>
      </c>
      <c r="C71" s="5">
        <v>15</v>
      </c>
      <c r="D71" s="136" t="s">
        <v>140</v>
      </c>
      <c r="E71" s="159" t="s">
        <v>140</v>
      </c>
      <c r="F71" s="159" t="s">
        <v>140</v>
      </c>
      <c r="G71" s="159" t="s">
        <v>140</v>
      </c>
      <c r="H71" s="157" t="s">
        <v>140</v>
      </c>
      <c r="I71" s="171"/>
    </row>
    <row r="72" spans="1:9" x14ac:dyDescent="0.2">
      <c r="A72" s="124" t="s">
        <v>100</v>
      </c>
      <c r="B72" s="5">
        <v>8</v>
      </c>
      <c r="C72" s="5">
        <v>8</v>
      </c>
      <c r="D72" s="136" t="s">
        <v>140</v>
      </c>
      <c r="E72" s="159" t="s">
        <v>140</v>
      </c>
      <c r="F72" s="159" t="s">
        <v>140</v>
      </c>
      <c r="G72" s="159" t="s">
        <v>140</v>
      </c>
      <c r="H72" s="157" t="s">
        <v>140</v>
      </c>
      <c r="I72" s="171"/>
    </row>
    <row r="73" spans="1:9" x14ac:dyDescent="0.2">
      <c r="A73" s="124" t="s">
        <v>101</v>
      </c>
      <c r="B73" s="5">
        <v>12</v>
      </c>
      <c r="C73" s="5">
        <v>12</v>
      </c>
      <c r="D73" s="136" t="s">
        <v>140</v>
      </c>
      <c r="E73" s="159" t="s">
        <v>140</v>
      </c>
      <c r="F73" s="159" t="s">
        <v>140</v>
      </c>
      <c r="G73" s="159" t="s">
        <v>140</v>
      </c>
      <c r="H73" s="157" t="s">
        <v>140</v>
      </c>
      <c r="I73" s="171"/>
    </row>
    <row r="74" spans="1:9" x14ac:dyDescent="0.2">
      <c r="A74" s="142" t="s">
        <v>102</v>
      </c>
      <c r="B74" s="143">
        <v>10</v>
      </c>
      <c r="C74" s="143">
        <v>10</v>
      </c>
      <c r="D74" s="143">
        <v>10</v>
      </c>
      <c r="E74" s="162">
        <v>10</v>
      </c>
      <c r="F74" s="162">
        <v>10</v>
      </c>
      <c r="G74" s="162">
        <v>10</v>
      </c>
      <c r="H74" s="157" t="s">
        <v>140</v>
      </c>
      <c r="I74" s="172"/>
    </row>
    <row r="75" spans="1:9" ht="13.5" thickBot="1" x14ac:dyDescent="0.25">
      <c r="A75" s="125" t="s">
        <v>146</v>
      </c>
      <c r="B75" s="126"/>
      <c r="C75" s="126"/>
      <c r="D75" s="126">
        <v>14</v>
      </c>
      <c r="E75" s="163">
        <v>14</v>
      </c>
      <c r="F75" s="163">
        <v>14</v>
      </c>
      <c r="G75" s="163">
        <v>14</v>
      </c>
      <c r="H75" s="157" t="s">
        <v>140</v>
      </c>
      <c r="I75" s="173"/>
    </row>
    <row r="76" spans="1:9" ht="13.5" thickBot="1" x14ac:dyDescent="0.25">
      <c r="A76" s="125" t="s">
        <v>255</v>
      </c>
      <c r="B76" s="126"/>
      <c r="C76" s="126"/>
      <c r="D76" s="126">
        <v>14</v>
      </c>
      <c r="E76" s="163">
        <v>300</v>
      </c>
      <c r="F76" s="163" t="s">
        <v>140</v>
      </c>
      <c r="G76" s="163" t="s">
        <v>140</v>
      </c>
      <c r="H76" s="163" t="s">
        <v>140</v>
      </c>
      <c r="I76" s="173"/>
    </row>
    <row r="77" spans="1:9" ht="13.5" thickBot="1" x14ac:dyDescent="0.25">
      <c r="A77" s="125" t="s">
        <v>308</v>
      </c>
      <c r="B77" s="126"/>
      <c r="C77" s="126"/>
      <c r="D77" s="126">
        <v>14</v>
      </c>
      <c r="E77" s="163">
        <v>1</v>
      </c>
      <c r="F77" s="163" t="s">
        <v>140</v>
      </c>
      <c r="G77" s="163" t="s">
        <v>140</v>
      </c>
      <c r="H77" s="163" t="s">
        <v>140</v>
      </c>
      <c r="I77" s="173"/>
    </row>
    <row r="78" spans="1:9" ht="91.5" customHeight="1" x14ac:dyDescent="0.2">
      <c r="A78" s="302" t="s">
        <v>128</v>
      </c>
      <c r="B78" s="302"/>
      <c r="C78" s="128"/>
      <c r="D78" s="128"/>
      <c r="E78" s="141"/>
      <c r="F78" s="141"/>
      <c r="G78" s="155"/>
      <c r="H78" s="271"/>
    </row>
    <row r="84" spans="5:5" x14ac:dyDescent="0.2">
      <c r="E84" s="229"/>
    </row>
  </sheetData>
  <mergeCells count="15">
    <mergeCell ref="E59:G59"/>
    <mergeCell ref="A64:B64"/>
    <mergeCell ref="A78:B78"/>
    <mergeCell ref="A2:A3"/>
    <mergeCell ref="A53:B53"/>
    <mergeCell ref="A62:B62"/>
    <mergeCell ref="A17:B17"/>
    <mergeCell ref="A24:B24"/>
    <mergeCell ref="A44:B44"/>
    <mergeCell ref="A47:B47"/>
    <mergeCell ref="A59:B59"/>
    <mergeCell ref="A37:B37"/>
    <mergeCell ref="A31:B31"/>
    <mergeCell ref="A20:B20"/>
    <mergeCell ref="A50:B50"/>
  </mergeCells>
  <phoneticPr fontId="3"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94</vt:i4>
      </vt:variant>
    </vt:vector>
  </HeadingPairs>
  <TitlesOfParts>
    <vt:vector size="98" baseType="lpstr">
      <vt:lpstr>Instructions</vt:lpstr>
      <vt:lpstr>Sheet1</vt:lpstr>
      <vt:lpstr>Finesse 12.6</vt:lpstr>
      <vt:lpstr>BW Data</vt:lpstr>
      <vt:lpstr>'Finesse 12.6'!Agent_Call_Wrap_Up_Time</vt:lpstr>
      <vt:lpstr>'Finesse 12.6'!Agent_Call_Wrap_Up_Time_v901</vt:lpstr>
      <vt:lpstr>'Finesse 12.6'!Agent_Statistics_Update_Interval_v801</vt:lpstr>
      <vt:lpstr>Agent_Task_Wrap_Up_Time</vt:lpstr>
      <vt:lpstr>'Finesse 12.6'!Average_Call_Duration</vt:lpstr>
      <vt:lpstr>'Finesse 12.6'!Average_Call_Duration_v901</vt:lpstr>
      <vt:lpstr>'Finesse 12.6'!Average_number_of_agents_per_Team</vt:lpstr>
      <vt:lpstr>'Finesse 12.6'!Average_number_of_agents_per_team_v901</vt:lpstr>
      <vt:lpstr>'Finesse 12.6'!Average_number_of_Skill_Groups_per_Agent_v901</vt:lpstr>
      <vt:lpstr>'Finesse 12.6'!Average_number_of_Skill_Groups_per_Supervisor</vt:lpstr>
      <vt:lpstr>Average_Task_Duration</vt:lpstr>
      <vt:lpstr>Avg_Agent_State_Changes_Per_Call_NoWrap</vt:lpstr>
      <vt:lpstr>Avg_Agent_State_Changes_Per_Call_NoWrap_v91</vt:lpstr>
      <vt:lpstr>Avg_Agent_State_Changes_Per_Call_Wrap</vt:lpstr>
      <vt:lpstr>Avg_Agent_State_Changes_Per_Call_Wrap_v91</vt:lpstr>
      <vt:lpstr>Avg_Agent_State_Changes_Per_Task_NoWrap</vt:lpstr>
      <vt:lpstr>Avg_agent_state_Changes_Per_Task_Wrap</vt:lpstr>
      <vt:lpstr>Avg_Number_Dialog_Events_Per_ConfCall</vt:lpstr>
      <vt:lpstr>Avg_Number_Dialog_Events_Per_IncomingCall</vt:lpstr>
      <vt:lpstr>Avg_Number_Dialog_Events_Per_OutCall</vt:lpstr>
      <vt:lpstr>Avg_Number_Dialog_Events_Per_XferCall</vt:lpstr>
      <vt:lpstr>Bandwidth_Confidence_Factor</vt:lpstr>
      <vt:lpstr>Bandwidth_Confidence_Factor_CCAI</vt:lpstr>
      <vt:lpstr>Bandwidth_Confidence_Factor_v9</vt:lpstr>
      <vt:lpstr>Bandwidth_Confidence_Factor_v91</vt:lpstr>
      <vt:lpstr>'Finesse 12.6'!BHCA</vt:lpstr>
      <vt:lpstr>'Finesse 12.6'!BHCA_v901</vt:lpstr>
      <vt:lpstr>BHTA</vt:lpstr>
      <vt:lpstr>Bytes_Per_Call_Variable_Value</vt:lpstr>
      <vt:lpstr>'Finesse 12.6'!Calls_Per_Second</vt:lpstr>
      <vt:lpstr>'Finesse 12.6'!Calls_Per_Second_v901</vt:lpstr>
      <vt:lpstr>ccai_services_configured</vt:lpstr>
      <vt:lpstr>'Finesse 12.6'!Max_Login_Time_All_Agents</vt:lpstr>
      <vt:lpstr>'Finesse 12.6'!Max_Login_Time_All_Users</vt:lpstr>
      <vt:lpstr>'Finesse 12.6'!Maximum_Login_Time_for_all_users</vt:lpstr>
      <vt:lpstr>'Finesse 12.6'!Number_of_Agent_Statistics_v801</vt:lpstr>
      <vt:lpstr>'Finesse 12.6'!Number_of_Agents</vt:lpstr>
      <vt:lpstr>Number_of_Agents_Answers_Enabled</vt:lpstr>
      <vt:lpstr>Number_of_Agents_Transcript_Enabled</vt:lpstr>
      <vt:lpstr>Number_of_Agents_Transcripts_Enabled</vt:lpstr>
      <vt:lpstr>'Finesse 12.6'!Number_of_All_Agents_Monitors_v801</vt:lpstr>
      <vt:lpstr>Number_of_Call_Variables</vt:lpstr>
      <vt:lpstr>Number_of_Call_Variables_v91</vt:lpstr>
      <vt:lpstr>Number_of_Configured_Call_variables</vt:lpstr>
      <vt:lpstr>'Finesse 12.6'!Number_of_Configured_ECC_variables</vt:lpstr>
      <vt:lpstr>'Finesse 12.6'!Number_of_Configured_ECC_variables_v901</vt:lpstr>
      <vt:lpstr>Number_of_mc_agents</vt:lpstr>
      <vt:lpstr>Number_of_Multi_Channel_Agents</vt:lpstr>
      <vt:lpstr>Number_of_Non_Voice_MRDs</vt:lpstr>
      <vt:lpstr>Number_of_nonSSO_agents</vt:lpstr>
      <vt:lpstr>Number_of_nonSSO_supervisors</vt:lpstr>
      <vt:lpstr>Number_of_nonvoice_mrds</vt:lpstr>
      <vt:lpstr>'Finesse 12.6'!Number_of_Skill_Group_Statistics_v801</vt:lpstr>
      <vt:lpstr>'Finesse 12.6'!Number_of_Skill_Groups_per_Agent_v801</vt:lpstr>
      <vt:lpstr>'Finesse 12.6'!Number_of_Skill_Groups_per_Supervisor_v901</vt:lpstr>
      <vt:lpstr>Number_of_Skill_Groups_PG</vt:lpstr>
      <vt:lpstr>Number_of_SSO_agents</vt:lpstr>
      <vt:lpstr>Number_of_SSO_supervisors</vt:lpstr>
      <vt:lpstr>'Finesse 12.6'!Number_of_Supervisors</vt:lpstr>
      <vt:lpstr>Number_of_Supervisors_v10</vt:lpstr>
      <vt:lpstr>'Finesse 12.6'!Number_of_Supervisors_v901</vt:lpstr>
      <vt:lpstr>Number_of_teams_for_supervisor</vt:lpstr>
      <vt:lpstr>Percentage_Calls_CCAI_Enabled</vt:lpstr>
      <vt:lpstr>'Finesse 12.6'!Percentage_Calls_Silently_Monitored</vt:lpstr>
      <vt:lpstr>Percentage_of_BargedCalls</vt:lpstr>
      <vt:lpstr>'Finesse 12.6'!Percentage_of_Calls_that_are_silently_monitored</vt:lpstr>
      <vt:lpstr>'Finesse 12.6'!Percentage_of_Consultative_Conference_Calls</vt:lpstr>
      <vt:lpstr>'Finesse 12.6'!Percentage_of_Consultative_Conference_Calls_v901</vt:lpstr>
      <vt:lpstr>'Finesse 12.6'!Percentage_of_Consultative_Transfer_Calls</vt:lpstr>
      <vt:lpstr>'Finesse 12.6'!Percentage_of_Consultative_Transfer_Calls_v901</vt:lpstr>
      <vt:lpstr>'Finesse 12.6'!Percentage_of_Incoming_Straight_Calls</vt:lpstr>
      <vt:lpstr>'Finesse 12.6'!Percentage_of_Incoming_Straight_Calls_v901</vt:lpstr>
      <vt:lpstr>Percentage_of_Incoming_Straight_Tasks</vt:lpstr>
      <vt:lpstr>Percentage_of_InterceptedCalls</vt:lpstr>
      <vt:lpstr>Percentage_of_Interrupted_Tasks</vt:lpstr>
      <vt:lpstr>'Finesse 12.6'!Percentage_of_Outgoing_Straight_Calls</vt:lpstr>
      <vt:lpstr>'Finesse 12.6'!Percentage_of_Outgoing_Straight_Calls_v901</vt:lpstr>
      <vt:lpstr>Percentage_of_Paused_and_Resumed_Tasks</vt:lpstr>
      <vt:lpstr>'Finesse 12.6'!Percentage_of_Single_Step_Transfer_Calls_v801</vt:lpstr>
      <vt:lpstr>Percentage_of_SingleStep_Transfer_Calls</vt:lpstr>
      <vt:lpstr>Percentage_of_Transferred_Tasks</vt:lpstr>
      <vt:lpstr>Skill_Group_Refresh_Rate</vt:lpstr>
      <vt:lpstr>Skill_Group_Refresh_Rate_v91</vt:lpstr>
      <vt:lpstr>'Finesse 12.6'!Skill_Group_Update_Interval_v801</vt:lpstr>
      <vt:lpstr>'Finesse 12.6'!Sum_of_all_Call_Variable_Values</vt:lpstr>
      <vt:lpstr>'Finesse 12.6'!Sum_of_all_Call_Variable_Values_v901</vt:lpstr>
      <vt:lpstr>'Finesse 12.6'!Sum_of_all_ECC_Variable_Names</vt:lpstr>
      <vt:lpstr>'Finesse 12.6'!Sum_of_all_ECC_Variable_Names_v901</vt:lpstr>
      <vt:lpstr>'Finesse 12.6'!Sum_of_all_ECC_Variable_Values</vt:lpstr>
      <vt:lpstr>'Finesse 12.6'!Sum_of_all_ECC_Variable_Values_v901</vt:lpstr>
      <vt:lpstr>Tasks_Per_Second</vt:lpstr>
      <vt:lpstr>'Finesse 12.6'!Total</vt:lpstr>
      <vt:lpstr>Totall</vt:lpstr>
      <vt:lpstr>Totalll</vt:lpstr>
    </vt:vector>
  </TitlesOfParts>
  <Company>Cisco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elalo</dc:creator>
  <cp:lastModifiedBy>Ravi Teja Kota (ravkota)</cp:lastModifiedBy>
  <cp:lastPrinted>2005-06-13T18:47:50Z</cp:lastPrinted>
  <dcterms:created xsi:type="dcterms:W3CDTF">2005-06-07T14:17:23Z</dcterms:created>
  <dcterms:modified xsi:type="dcterms:W3CDTF">2021-06-04T11:14:31Z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VeraFileId">
    <vt:lpwstr>RwBDG/o8Q86UKzyegmhkfw</vt:lpwstr>
  </property>
  <property fmtid="{D5CDD505-2E9C-101B-9397-08002B2CF9AE}" pid="4" name="application">
    <vt:lpwstr>Confluence</vt:lpwstr>
  </property>
  <property fmtid="{D5CDD505-2E9C-101B-9397-08002B2CF9AE}" pid="5" name="assettype">
    <vt:lpwstr>Page</vt:lpwstr>
  </property>
  <property fmtid="{D5CDD505-2E9C-101B-9397-08002B2CF9AE}" pid="6" name="businessUnit">
    <vt:lpwstr>Engineering</vt:lpwstr>
  </property>
  <property fmtid="{D5CDD505-2E9C-101B-9397-08002B2CF9AE}" pid="7" name="classification">
    <vt:lpwstr>Highly Confidential</vt:lpwstr>
  </property>
  <property fmtid="{D5CDD505-2E9C-101B-9397-08002B2CF9AE}" pid="8" name="instance">
    <vt:lpwstr>confluence-eng-sjc12.cisco.com</vt:lpwstr>
  </property>
  <property fmtid="{D5CDD505-2E9C-101B-9397-08002B2CF9AE}" pid="9" name="key">
    <vt:lpwstr>FIN</vt:lpwstr>
  </property>
  <property fmtid="{D5CDD505-2E9C-101B-9397-08002B2CF9AE}" pid="10" name="page">
    <vt:lpwstr>137197346</vt:lpwstr>
  </property>
  <property fmtid="{D5CDD505-2E9C-101B-9397-08002B2CF9AE}" pid="11" name="taxonomy">
    <vt:lpwstr>Cisco Strategic Data</vt:lpwstr>
  </property>
  <property fmtid="{D5CDD505-2E9C-101B-9397-08002B2CF9AE}" pid="12" name="timestamp">
    <vt:lpwstr>2019-10-06 12:06:54.833</vt:lpwstr>
  </property>
  <property fmtid="{D5CDD505-2E9C-101B-9397-08002B2CF9AE}" pid="13" name="user">
    <vt:lpwstr>bhagoswa</vt:lpwstr>
  </property>
</Properties>
</file>