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C:\Users\prarao3\Downloads\"/>
    </mc:Choice>
  </mc:AlternateContent>
  <xr:revisionPtr revIDLastSave="0" documentId="13_ncr:1_{E2ADECAD-9820-4F87-9721-1C3DECC31DB5}" xr6:coauthVersionLast="46" xr6:coauthVersionMax="46" xr10:uidLastSave="{00000000-0000-0000-0000-000000000000}"/>
  <bookViews>
    <workbookView xWindow="-110" yWindow="-110" windowWidth="19420" windowHeight="10420" activeTab="1" xr2:uid="{00000000-000D-0000-FFFF-FFFF00000000}"/>
  </bookViews>
  <sheets>
    <sheet name="Instructions" sheetId="15" r:id="rId1"/>
    <sheet name="Finesse 12.0" sheetId="17" r:id="rId2"/>
    <sheet name="BW Data" sheetId="5" r:id="rId3"/>
  </sheets>
  <definedNames>
    <definedName name="Agent_Call_Wrap_Up_Time" localSheetId="1">'Finesse 12.0'!$B$21</definedName>
    <definedName name="Agent_Call_Wrap_Up_Time_v70" localSheetId="1">#REF!</definedName>
    <definedName name="Agent_Call_Wrap_Up_Time_v70">#REF!</definedName>
    <definedName name="Agent_Call_Wrap_Up_Time_v711" localSheetId="1">#REF!</definedName>
    <definedName name="Agent_Call_Wrap_Up_Time_v711">#REF!</definedName>
    <definedName name="Agent_Call_Wrap_Up_Time_v721" localSheetId="1">#REF!</definedName>
    <definedName name="Agent_Call_Wrap_Up_Time_v721">#REF!</definedName>
    <definedName name="Agent_Call_Wrap_Up_Time_v751" localSheetId="1">#REF!</definedName>
    <definedName name="Agent_Call_Wrap_Up_Time_v751">#REF!</definedName>
    <definedName name="Agent_Call_Wrap_Up_Time_v901" localSheetId="1">'Finesse 12.0'!$B$21</definedName>
    <definedName name="Agent_Call_Wrap_Up_Time_v901">#REF!</definedName>
    <definedName name="Agent_Statistics_Update_Interval_v5x" localSheetId="1">#REF!</definedName>
    <definedName name="Agent_Statistics_Update_Interval_v5x">#REF!</definedName>
    <definedName name="Agent_Statistics_Update_Interval_v60" localSheetId="1">#REF!</definedName>
    <definedName name="Agent_Statistics_Update_Interval_v60">#REF!</definedName>
    <definedName name="Agent_Statistics_Update_Interval_v70" localSheetId="1">#REF!</definedName>
    <definedName name="Agent_Statistics_Update_Interval_v70">#REF!</definedName>
    <definedName name="Agent_Statistics_Update_Interval_v711" localSheetId="1">#REF!</definedName>
    <definedName name="Agent_Statistics_Update_Interval_v711">#REF!</definedName>
    <definedName name="Agent_Statistics_Update_Interval_v721" localSheetId="1">#REF!</definedName>
    <definedName name="Agent_Statistics_Update_Interval_v721">#REF!</definedName>
    <definedName name="Agent_Statistics_Update_Interval_v751" localSheetId="1">#REF!</definedName>
    <definedName name="Agent_Statistics_Update_Interval_v751">#REF!</definedName>
    <definedName name="Agent_Statistics_Update_Interval_v801" localSheetId="1">'Finesse 12.0'!$B$54</definedName>
    <definedName name="Agent_Statistics_Update_Interval_v801">#REF!</definedName>
    <definedName name="Agent_Task_Wrap_Up_Time">'Finesse 12.0'!$B$26</definedName>
    <definedName name="Average_Call_Duration" localSheetId="1">'Finesse 12.0'!$B$22</definedName>
    <definedName name="Average_Call_Duration_v5x" localSheetId="1">#REF!</definedName>
    <definedName name="Average_Call_Duration_v5x">#REF!</definedName>
    <definedName name="Average_Call_Duration_v60" localSheetId="1">#REF!</definedName>
    <definedName name="Average_Call_Duration_v60">#REF!</definedName>
    <definedName name="Average_Call_Duration_v70" localSheetId="1">#REF!</definedName>
    <definedName name="Average_Call_Duration_v70">#REF!</definedName>
    <definedName name="Average_Call_Duration_v711" localSheetId="1">#REF!</definedName>
    <definedName name="Average_Call_Duration_v711">#REF!</definedName>
    <definedName name="Average_Call_Duration_v721" localSheetId="1">#REF!</definedName>
    <definedName name="Average_Call_Duration_v721">#REF!</definedName>
    <definedName name="Average_Call_Duration_v751" localSheetId="1">#REF!</definedName>
    <definedName name="Average_Call_Duration_v751">#REF!</definedName>
    <definedName name="Average_Call_Duration_v901" localSheetId="1">'Finesse 12.0'!$B$22</definedName>
    <definedName name="Average_Call_Duration_v901">#REF!</definedName>
    <definedName name="Average_number_of_Agent_Skill_Groups_Monitored_by_a_Supervisor_v5x" localSheetId="1">#REF!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#REF!</definedName>
    <definedName name="Average_number_of_Agent_Skill_Groups_Monitored_by_a_Supervisor_v901" localSheetId="1">'Finesse 12.0'!#REF!</definedName>
    <definedName name="Average_number_of_Agent_Skill_Groups_Monitored_by_a_Supervisor_v901">#REF!</definedName>
    <definedName name="Average_number_of_agents_per_Team" localSheetId="1">'Finesse 12.0'!$B$63</definedName>
    <definedName name="Average_number_of_agents_per_Team">'Finesse 12.0'!$B$63</definedName>
    <definedName name="Average_number_of_agents_per_team_v901" localSheetId="1">'Finesse 12.0'!#REF!</definedName>
    <definedName name="Average_number_of_agents_per_team_v901">#REF!</definedName>
    <definedName name="Average_number_of_Skill_Groups_per_Agent_v5x" localSheetId="1">#REF!</definedName>
    <definedName name="Average_number_of_Skill_Groups_per_Agent_v5x">#REF!</definedName>
    <definedName name="Average_number_of_Skill_Groups_per_Agent_v60" localSheetId="1">#REF!</definedName>
    <definedName name="Average_number_of_Skill_Groups_per_Agent_v60">#REF!</definedName>
    <definedName name="Average_number_of_Skill_Groups_per_Agent_v70" localSheetId="1">#REF!</definedName>
    <definedName name="Average_number_of_Skill_Groups_per_Agent_v70">#REF!</definedName>
    <definedName name="Average_number_of_Skill_Groups_per_Agent_v711" localSheetId="1">#REF!</definedName>
    <definedName name="Average_number_of_Skill_Groups_per_Agent_v711">#REF!</definedName>
    <definedName name="Average_number_of_Skill_Groups_per_Agent_v721" localSheetId="1">#REF!</definedName>
    <definedName name="Average_number_of_Skill_Groups_per_Agent_v721">#REF!</definedName>
    <definedName name="Average_number_of_Skill_Groups_per_Agent_v751" localSheetId="1">#REF!</definedName>
    <definedName name="Average_number_of_Skill_Groups_per_Agent_v751">#REF!</definedName>
    <definedName name="Average_number_of_Skill_Groups_per_Agent_v901" localSheetId="1">'Finesse 12.0'!$B$47</definedName>
    <definedName name="Average_number_of_Skill_Groups_per_Agent_v901">#REF!</definedName>
    <definedName name="Average_number_of_Skill_Groups_per_Supervisor" localSheetId="1">'Finesse 12.0'!$B$48</definedName>
    <definedName name="Average_Task_Duration">'Finesse 12.0'!$B$27</definedName>
    <definedName name="Avg_Agent_State_Changes_Per_Call_NoWrap">'BW Data'!$B$57</definedName>
    <definedName name="Avg_Agent_State_Changes_Per_Call_NoWrap_v91">'BW Data'!$D$57</definedName>
    <definedName name="Avg_Agent_State_Changes_Per_Call_Wrap">'BW Data'!$B$58</definedName>
    <definedName name="Avg_Agent_State_Changes_Per_Call_Wrap_v91">'BW Data'!$D$58</definedName>
    <definedName name="Avg_Agent_State_Changes_Per_Task_NoWrap">'BW Data'!$E$59</definedName>
    <definedName name="Avg_agent_state_Changes_Per_Task_Wrap">'BW Data'!$E$60</definedName>
    <definedName name="Avg_Number_Dialog_Events_Per_ConfCall">'BW Data'!$B$63</definedName>
    <definedName name="Avg_Number_Dialog_Events_Per_IncomingCall">'BW Data'!$B$62</definedName>
    <definedName name="Avg_Number_Dialog_Events_Per_OutCall">'BW Data'!$B$64</definedName>
    <definedName name="Avg_Number_Dialog_Events_Per_XferCall">'BW Data'!$B$65</definedName>
    <definedName name="Bandwidth_Confidence_Factor">'BW Data'!$E$55</definedName>
    <definedName name="Bandwidth_Confidence_Factor_v5x" localSheetId="1">'BW Data'!#REF!</definedName>
    <definedName name="Bandwidth_Confidence_Factor_v5x">'BW Data'!#REF!</definedName>
    <definedName name="Bandwidth_Confidence_Factor_v60" localSheetId="1">'BW Data'!#REF!</definedName>
    <definedName name="Bandwidth_Confidence_Factor_v60">'BW Data'!#REF!</definedName>
    <definedName name="Bandwidth_Confidence_Factor_v70_Security_On" localSheetId="1">'BW Data'!#REF!</definedName>
    <definedName name="Bandwidth_Confidence_Factor_v70_Security_On">'BW Data'!#REF!</definedName>
    <definedName name="Bandwidth_Confidence_Factor_v711_Security_Off" localSheetId="1">'BW Data'!#REF!</definedName>
    <definedName name="Bandwidth_Confidence_Factor_v711_Security_Off">'BW Data'!#REF!</definedName>
    <definedName name="Bandwidth_Confidence_Factor_v711_Security_On" localSheetId="1">'BW Data'!#REF!</definedName>
    <definedName name="Bandwidth_Confidence_Factor_v711_Security_On">'BW Data'!#REF!</definedName>
    <definedName name="Bandwidth_Confidence_Factor_v721_Security_Off" localSheetId="1">'BW Data'!#REF!</definedName>
    <definedName name="Bandwidth_Confidence_Factor_v721_Security_Off">'BW Data'!#REF!</definedName>
    <definedName name="Bandwidth_Confidence_Factor_v721_Security_On" localSheetId="1">'BW Data'!#REF!</definedName>
    <definedName name="Bandwidth_Confidence_Factor_v721_Security_On">'BW Data'!#REF!</definedName>
    <definedName name="Bandwidth_Confidence_Factor_v751_Security_Off" localSheetId="1">'BW Data'!#REF!</definedName>
    <definedName name="Bandwidth_Confidence_Factor_v751_Security_Off">'BW Data'!#REF!</definedName>
    <definedName name="Bandwidth_Confidence_Factor_v751_Security_On" localSheetId="1">'BW Data'!#REF!</definedName>
    <definedName name="Bandwidth_Confidence_Factor_v751_Security_On">'BW Data'!#REF!</definedName>
    <definedName name="Bandwidth_Confidence_Factor_v9">'BW Data'!$B$55</definedName>
    <definedName name="Bandwidth_Confidence_Factor_v91">'BW Data'!$D$55</definedName>
    <definedName name="BHCA" localSheetId="1">'Finesse 12.0'!$B$20</definedName>
    <definedName name="BHCA_v5x" localSheetId="1">#REF!</definedName>
    <definedName name="BHCA_v5x">#REF!</definedName>
    <definedName name="BHCA_v60" localSheetId="1">#REF!</definedName>
    <definedName name="BHCA_v60">#REF!</definedName>
    <definedName name="BHCA_v70" localSheetId="1">#REF!</definedName>
    <definedName name="BHCA_v70">#REF!</definedName>
    <definedName name="BHCA_v711" localSheetId="1">#REF!</definedName>
    <definedName name="BHCA_v711">#REF!</definedName>
    <definedName name="BHCA_v721" localSheetId="1">#REF!</definedName>
    <definedName name="BHCA_v721">#REF!</definedName>
    <definedName name="BHCA_v751" localSheetId="1">#REF!</definedName>
    <definedName name="BHCA_v751">#REF!</definedName>
    <definedName name="BHCA_v901" localSheetId="1">'Finesse 12.0'!$B$20</definedName>
    <definedName name="BHCA_v901">#REF!</definedName>
    <definedName name="BHTA">'Finesse 12.0'!$B$25</definedName>
    <definedName name="Bytes_Per_Call_Variable_Value">'BW Data'!$D$67</definedName>
    <definedName name="Calls_Per_Second" localSheetId="1">'Finesse 12.0'!$B$23</definedName>
    <definedName name="Calls_Per_Second_v5x" localSheetId="1">#REF!</definedName>
    <definedName name="Calls_Per_Second_v5x">#REF!</definedName>
    <definedName name="Calls_Per_Second_v60" localSheetId="1">#REF!</definedName>
    <definedName name="Calls_Per_Second_v60">#REF!</definedName>
    <definedName name="Calls_Per_Second_v70" localSheetId="1">#REF!</definedName>
    <definedName name="Calls_Per_Second_v70">#REF!</definedName>
    <definedName name="Calls_Per_Second_v711" localSheetId="1">#REF!</definedName>
    <definedName name="Calls_Per_Second_v711">#REF!</definedName>
    <definedName name="Calls_Per_Second_v721" localSheetId="1">#REF!</definedName>
    <definedName name="Calls_Per_Second_v721">#REF!</definedName>
    <definedName name="Calls_Per_Second_v751" localSheetId="1">#REF!</definedName>
    <definedName name="Calls_Per_Second_v751">#REF!</definedName>
    <definedName name="Calls_Per_Second_v901" localSheetId="1">'Finesse 12.0'!$B$23</definedName>
    <definedName name="Calls_Per_Second_v901">#REF!</definedName>
    <definedName name="Concurrent_agent_sessions_Per_TPG">'Finesse 12.0'!$B$63</definedName>
    <definedName name="kbps">8/1000</definedName>
    <definedName name="Max_Login_Time_All_Agents" localSheetId="1">'Finesse 12.0'!$B$18</definedName>
    <definedName name="Max_Login_Time_All_Agents">#REF!</definedName>
    <definedName name="Max_Login_Time_All_Users" localSheetId="1">'Finesse 12.0'!$B$18</definedName>
    <definedName name="Max_Login_Time_All_Users">#REF!</definedName>
    <definedName name="Maximum_Login_Time_for_all_users" localSheetId="1">'Finesse 12.0'!$B$18</definedName>
    <definedName name="Number_of_Agent_Statistics_v5x" localSheetId="1">#REF!</definedName>
    <definedName name="Number_of_Agent_Statistics_v5x">#REF!</definedName>
    <definedName name="Number_of_Agent_Statistics_v60" localSheetId="1">#REF!</definedName>
    <definedName name="Number_of_Agent_Statistics_v60">#REF!</definedName>
    <definedName name="Number_of_Agent_Statistics_v70" localSheetId="1">#REF!</definedName>
    <definedName name="Number_of_Agent_Statistics_v70">#REF!</definedName>
    <definedName name="Number_of_Agent_Statistics_v711" localSheetId="1">#REF!</definedName>
    <definedName name="Number_of_Agent_Statistics_v711">#REF!</definedName>
    <definedName name="Number_of_Agent_Statistics_v721" localSheetId="1">#REF!</definedName>
    <definedName name="Number_of_Agent_Statistics_v721">#REF!</definedName>
    <definedName name="Number_of_Agent_Statistics_v751" localSheetId="1">#REF!</definedName>
    <definedName name="Number_of_Agent_Statistics_v751">#REF!</definedName>
    <definedName name="Number_of_Agent_Statistics_v801" localSheetId="1">'Finesse 12.0'!$B$53</definedName>
    <definedName name="Number_of_Agent_Statistics_v801">#REF!</definedName>
    <definedName name="Number_of_Agents" localSheetId="1">'Finesse 12.0'!$B$9</definedName>
    <definedName name="Number_of_All_Agents_Monitors_v5x" localSheetId="1">#REF!</definedName>
    <definedName name="Number_of_All_Agents_Monitors_v5x">#REF!</definedName>
    <definedName name="Number_of_All_Agents_Monitors_v60" localSheetId="1">#REF!</definedName>
    <definedName name="Number_of_All_Agents_Monitors_v60">#REF!</definedName>
    <definedName name="Number_of_All_Agents_Monitors_v70" localSheetId="1">#REF!</definedName>
    <definedName name="Number_of_All_Agents_Monitors_v70">#REF!</definedName>
    <definedName name="Number_of_All_Agents_Monitors_v711" localSheetId="1">#REF!</definedName>
    <definedName name="Number_of_All_Agents_Monitors_v711">#REF!</definedName>
    <definedName name="Number_of_All_Agents_Monitors_v721" localSheetId="1">#REF!</definedName>
    <definedName name="Number_of_All_Agents_Monitors_v721">#REF!</definedName>
    <definedName name="Number_of_All_Agents_Monitors_v751" localSheetId="1">#REF!</definedName>
    <definedName name="Number_of_All_Agents_Monitors_v751">#REF!</definedName>
    <definedName name="Number_of_All_Agents_Monitors_v801" localSheetId="1">'Finesse 12.0'!$B$11</definedName>
    <definedName name="Number_of_All_Agents_Monitors_v801">#REF!</definedName>
    <definedName name="Number_of_Call_Variables">'BW Data'!$B$66</definedName>
    <definedName name="Number_of_Call_Variables_v5x" localSheetId="1">#REF!</definedName>
    <definedName name="Number_of_Call_Variables_v5x">#REF!</definedName>
    <definedName name="Number_of_Call_Variables_v60" localSheetId="1">#REF!</definedName>
    <definedName name="Number_of_Call_Variables_v60">#REF!</definedName>
    <definedName name="Number_of_Call_Variables_v70" localSheetId="1">#REF!</definedName>
    <definedName name="Number_of_Call_Variables_v70">#REF!</definedName>
    <definedName name="Number_of_Call_Variables_v711" localSheetId="1">#REF!</definedName>
    <definedName name="Number_of_Call_Variables_v711">#REF!</definedName>
    <definedName name="Number_of_Call_Variables_v721" localSheetId="1">#REF!</definedName>
    <definedName name="Number_of_Call_Variables_v721">#REF!</definedName>
    <definedName name="Number_of_Call_Variables_v751" localSheetId="1">#REF!</definedName>
    <definedName name="Number_of_Call_Variables_v751">#REF!</definedName>
    <definedName name="Number_of_Call_Variables_v901" localSheetId="1">'Finesse 12.0'!#REF!</definedName>
    <definedName name="Number_of_Call_Variables_v901">#REF!</definedName>
    <definedName name="Number_of_Call_Variables_v91">'BW Data'!$D$66</definedName>
    <definedName name="Number_of_Configured_Call_variables">'Finesse 12.0'!$B$61</definedName>
    <definedName name="Number_of_Configured_ECC_variables" localSheetId="1">'Finesse 12.0'!$B$57</definedName>
    <definedName name="Number_of_Configured_ECC_variables_v5x" localSheetId="1">#REF!</definedName>
    <definedName name="Number_of_Configured_ECC_variables_v5x">#REF!</definedName>
    <definedName name="Number_of_Configured_ECC_variables_v60" localSheetId="1">#REF!</definedName>
    <definedName name="Number_of_Configured_ECC_variables_v60">#REF!</definedName>
    <definedName name="Number_of_Configured_ECC_variables_v70" localSheetId="1">#REF!</definedName>
    <definedName name="Number_of_Configured_ECC_variables_v70">#REF!</definedName>
    <definedName name="Number_of_Configured_ECC_variables_v711" localSheetId="1">#REF!</definedName>
    <definedName name="Number_of_Configured_ECC_variables_v711">#REF!</definedName>
    <definedName name="Number_of_Configured_ECC_variables_v721" localSheetId="1">#REF!</definedName>
    <definedName name="Number_of_Configured_ECC_variables_v721">#REF!</definedName>
    <definedName name="Number_of_Configured_ECC_variables_v751" localSheetId="1">#REF!</definedName>
    <definedName name="Number_of_Configured_ECC_variables_v751">#REF!</definedName>
    <definedName name="Number_of_Configured_ECC_variables_v901" localSheetId="1">'Finesse 12.0'!$B$57</definedName>
    <definedName name="Number_of_Configured_ECC_variables_v901">#REF!</definedName>
    <definedName name="Number_of_mc_agents">'Finesse 12.0'!$B$16</definedName>
    <definedName name="Number_of_Multi_Channel_Agents">'Finesse 12.0'!$B$16</definedName>
    <definedName name="Number_of_Non_Voice_MRDs">'Finesse 12.0'!$B$17</definedName>
    <definedName name="Number_of_nonSSO_agents">'Finesse 12.0'!$B$13</definedName>
    <definedName name="Number_of_nonsso_mc_agents">'Finesse 12.0'!#REF!</definedName>
    <definedName name="Number_of_nonSSO_Multi_Channel_Agents">'Finesse 12.0'!#REF!</definedName>
    <definedName name="Number_of_nonSSO_supervisors">'Finesse 12.0'!$B$15</definedName>
    <definedName name="Number_of_nonvoice_mrds">'Finesse 12.0'!$B$17</definedName>
    <definedName name="Number_of_Skill_Group_Statistics_v5x" localSheetId="1">#REF!</definedName>
    <definedName name="Number_of_Skill_Group_Statistics_v5x">#REF!</definedName>
    <definedName name="Number_of_Skill_Group_Statistics_v60" localSheetId="1">#REF!</definedName>
    <definedName name="Number_of_Skill_Group_Statistics_v60">#REF!</definedName>
    <definedName name="Number_of_Skill_Group_Statistics_v70" localSheetId="1">#REF!</definedName>
    <definedName name="Number_of_Skill_Group_Statistics_v70">#REF!</definedName>
    <definedName name="Number_of_Skill_Group_Statistics_v711" localSheetId="1">#REF!</definedName>
    <definedName name="Number_of_Skill_Group_Statistics_v711">#REF!</definedName>
    <definedName name="Number_of_Skill_Group_Statistics_v721" localSheetId="1">#REF!</definedName>
    <definedName name="Number_of_Skill_Group_Statistics_v721">#REF!</definedName>
    <definedName name="Number_of_Skill_Group_Statistics_v751" localSheetId="1">#REF!</definedName>
    <definedName name="Number_of_Skill_Group_Statistics_v751">#REF!</definedName>
    <definedName name="Number_of_Skill_Group_Statistics_v801" localSheetId="1">'Finesse 12.0'!$B$50</definedName>
    <definedName name="Number_of_Skill_Group_Statistics_v801">#REF!</definedName>
    <definedName name="Number_of_Skill_Groups_per_Agent_v5x" localSheetId="1">#REF!</definedName>
    <definedName name="Number_of_Skill_Groups_per_Agent_v5x">#REF!</definedName>
    <definedName name="Number_of_Skill_Groups_per_Agent_v60" localSheetId="1">#REF!</definedName>
    <definedName name="Number_of_Skill_Groups_per_Agent_v60">#REF!</definedName>
    <definedName name="Number_of_Skill_Groups_per_Agent_v70" localSheetId="1">#REF!</definedName>
    <definedName name="Number_of_Skill_Groups_per_Agent_v70">#REF!</definedName>
    <definedName name="Number_of_Skill_Groups_per_Agent_v711" localSheetId="1">#REF!</definedName>
    <definedName name="Number_of_Skill_Groups_per_Agent_v711">#REF!</definedName>
    <definedName name="Number_of_Skill_Groups_per_Agent_v721" localSheetId="1">#REF!</definedName>
    <definedName name="Number_of_Skill_Groups_per_Agent_v721">#REF!</definedName>
    <definedName name="Number_of_Skill_Groups_per_Agent_v751" localSheetId="1">#REF!</definedName>
    <definedName name="Number_of_Skill_Groups_per_Agent_v751">#REF!</definedName>
    <definedName name="Number_of_Skill_Groups_per_Agent_v801" localSheetId="1">'Finesse 12.0'!$B$47</definedName>
    <definedName name="Number_of_Skill_Groups_per_Agent_v801">#REF!</definedName>
    <definedName name="Number_of_Skill_Groups_per_Supervisor_v5x" localSheetId="1">#REF!</definedName>
    <definedName name="Number_of_Skill_Groups_per_Supervisor_v5x">#REF!</definedName>
    <definedName name="Number_of_Skill_Groups_per_Supervisor_v60" localSheetId="1">#REF!</definedName>
    <definedName name="Number_of_Skill_Groups_per_Supervisor_v60">#REF!</definedName>
    <definedName name="Number_of_Skill_Groups_per_Supervisor_v70" localSheetId="1">#REF!</definedName>
    <definedName name="Number_of_Skill_Groups_per_Supervisor_v70">#REF!</definedName>
    <definedName name="Number_of_Skill_Groups_per_Supervisor_v711" localSheetId="1">#REF!</definedName>
    <definedName name="Number_of_Skill_Groups_per_Supervisor_v711">#REF!</definedName>
    <definedName name="Number_of_Skill_Groups_per_Supervisor_v721" localSheetId="1">#REF!</definedName>
    <definedName name="Number_of_Skill_Groups_per_Supervisor_v721">#REF!</definedName>
    <definedName name="Number_of_Skill_Groups_per_Supervisor_v751" localSheetId="1">#REF!</definedName>
    <definedName name="Number_of_Skill_Groups_per_Supervisor_v751">#REF!</definedName>
    <definedName name="Number_of_Skill_Groups_per_Supervisor_v901" localSheetId="1">'Finesse 12.0'!$B$48</definedName>
    <definedName name="Number_of_Skill_Groups_per_Supervisor_v901">#REF!</definedName>
    <definedName name="Number_of_Skill_Groups_PG">'Finesse 12.0'!$B$55</definedName>
    <definedName name="Number_of_SSO_agents">'Finesse 12.0'!$B$12</definedName>
    <definedName name="Number_of_sso_mc_agents">'Finesse 12.0'!#REF!</definedName>
    <definedName name="Number_of_SSO_Multi_Channel_Agents">'Finesse 12.0'!#REF!</definedName>
    <definedName name="Number_of_SSO_supervisors">'Finesse 12.0'!$B$14</definedName>
    <definedName name="Number_of_Supervisors" localSheetId="1">'Finesse 12.0'!$B$10</definedName>
    <definedName name="Number_of_Supervisors_v10">'Finesse 12.0'!$B$10</definedName>
    <definedName name="Number_of_Supervisors_v5x" localSheetId="1">#REF!</definedName>
    <definedName name="Number_of_Supervisors_v5x">#REF!</definedName>
    <definedName name="Number_of_Supervisors_v60" localSheetId="1">#REF!</definedName>
    <definedName name="Number_of_Supervisors_v60">#REF!</definedName>
    <definedName name="Number_of_Supervisors_v70" localSheetId="1">#REF!</definedName>
    <definedName name="Number_of_Supervisors_v70">#REF!</definedName>
    <definedName name="Number_of_Supervisors_v711" localSheetId="1">#REF!</definedName>
    <definedName name="Number_of_Supervisors_v711">#REF!</definedName>
    <definedName name="Number_of_Supervisors_v721" localSheetId="1">#REF!</definedName>
    <definedName name="Number_of_Supervisors_v721">#REF!</definedName>
    <definedName name="Number_of_Supervisors_v751" localSheetId="1">#REF!</definedName>
    <definedName name="Number_of_Supervisors_v751">#REF!</definedName>
    <definedName name="Number_of_Supervisors_v901" localSheetId="1">'Finesse 12.0'!$B$10</definedName>
    <definedName name="Number_of_Supervisors_v901">#REF!</definedName>
    <definedName name="Number_of_teams_for_supervisor">'Finesse 12.0'!$B$64</definedName>
    <definedName name="Percentage_Calls_Silently_Monitored" localSheetId="1">'Finesse 12.0'!$B$37</definedName>
    <definedName name="Percentage_Calls_Silently_Monitored">#REF!</definedName>
    <definedName name="Percentage_of_BargedCalls">'Finesse 12.0'!$B$38</definedName>
    <definedName name="Percentage_of_Calls_that_are_silently_monitored" localSheetId="1">'Finesse 12.0'!$B$37</definedName>
    <definedName name="Percentage_of_Consultative_Conference_Calls" localSheetId="1">'Finesse 12.0'!$B$35</definedName>
    <definedName name="Percentage_of_Consultative_Conference_Calls_v5x" localSheetId="1">#REF!</definedName>
    <definedName name="Percentage_of_Consultative_Conference_Calls_v5x">#REF!</definedName>
    <definedName name="Percentage_of_Consultative_Conference_Calls_v60" localSheetId="1">#REF!</definedName>
    <definedName name="Percentage_of_Consultative_Conference_Calls_v60">#REF!</definedName>
    <definedName name="Percentage_of_Consultative_Conference_Calls_v70" localSheetId="1">#REF!</definedName>
    <definedName name="Percentage_of_Consultative_Conference_Calls_v70">#REF!</definedName>
    <definedName name="Percentage_of_Consultative_Conference_Calls_v711" localSheetId="1">#REF!</definedName>
    <definedName name="Percentage_of_Consultative_Conference_Calls_v711">#REF!</definedName>
    <definedName name="Percentage_of_Consultative_Conference_Calls_v721" localSheetId="1">#REF!</definedName>
    <definedName name="Percentage_of_Consultative_Conference_Calls_v721">#REF!</definedName>
    <definedName name="Percentage_of_Consultative_Conference_Calls_v751" localSheetId="1">#REF!</definedName>
    <definedName name="Percentage_of_Consultative_Conference_Calls_v751">#REF!</definedName>
    <definedName name="Percentage_of_Consultative_Conference_Calls_v901" localSheetId="1">'Finesse 12.0'!$B$35</definedName>
    <definedName name="Percentage_of_Consultative_Conference_Calls_v901">#REF!</definedName>
    <definedName name="Percentage_of_Consultative_Transfer_Calls" localSheetId="1">'Finesse 12.0'!$B$33</definedName>
    <definedName name="Percentage_of_Consultative_Transfer_Calls_v5x" localSheetId="1">#REF!</definedName>
    <definedName name="Percentage_of_Consultative_Transfer_Calls_v5x">#REF!</definedName>
    <definedName name="Percentage_of_Consultative_Transfer_Calls_v60" localSheetId="1">#REF!</definedName>
    <definedName name="Percentage_of_Consultative_Transfer_Calls_v60">#REF!</definedName>
    <definedName name="Percentage_of_Consultative_Transfer_Calls_v70" localSheetId="1">#REF!</definedName>
    <definedName name="Percentage_of_Consultative_Transfer_Calls_v70">#REF!</definedName>
    <definedName name="Percentage_of_Consultative_Transfer_Calls_v711" localSheetId="1">#REF!</definedName>
    <definedName name="Percentage_of_Consultative_Transfer_Calls_v711">#REF!</definedName>
    <definedName name="Percentage_of_Consultative_Transfer_Calls_v721" localSheetId="1">#REF!</definedName>
    <definedName name="Percentage_of_Consultative_Transfer_Calls_v721">#REF!</definedName>
    <definedName name="Percentage_of_Consultative_Transfer_Calls_v751" localSheetId="1">#REF!</definedName>
    <definedName name="Percentage_of_Consultative_Transfer_Calls_v751">#REF!</definedName>
    <definedName name="Percentage_of_Consultative_Transfer_Calls_v901" localSheetId="1">'Finesse 12.0'!$B$33</definedName>
    <definedName name="Percentage_of_Consultative_Transfer_Calls_v901">#REF!</definedName>
    <definedName name="Percentage_of_Incoming_Straight_Calls" localSheetId="1">'Finesse 12.0'!$B$30</definedName>
    <definedName name="Percentage_of_Incoming_Straight_Calls_v5x" localSheetId="1">#REF!</definedName>
    <definedName name="Percentage_of_Incoming_Straight_Calls_v5x">#REF!</definedName>
    <definedName name="Percentage_of_Incoming_Straight_Calls_v60" localSheetId="1">#REF!</definedName>
    <definedName name="Percentage_of_Incoming_Straight_Calls_v60">#REF!</definedName>
    <definedName name="Percentage_of_Incoming_Straight_Calls_v70" localSheetId="1">#REF!</definedName>
    <definedName name="Percentage_of_Incoming_Straight_Calls_v70">#REF!</definedName>
    <definedName name="Percentage_of_Incoming_Straight_Calls_v711" localSheetId="1">#REF!</definedName>
    <definedName name="Percentage_of_Incoming_Straight_Calls_v711">#REF!</definedName>
    <definedName name="Percentage_of_Incoming_Straight_Calls_v721" localSheetId="1">#REF!</definedName>
    <definedName name="Percentage_of_Incoming_Straight_Calls_v721">#REF!</definedName>
    <definedName name="Percentage_of_Incoming_Straight_Calls_v751" localSheetId="1">#REF!</definedName>
    <definedName name="Percentage_of_Incoming_Straight_Calls_v751">#REF!</definedName>
    <definedName name="Percentage_of_Incoming_Straight_Calls_v901" localSheetId="1">'Finesse 12.0'!$B$30</definedName>
    <definedName name="Percentage_of_Incoming_Straight_Calls_v901">#REF!</definedName>
    <definedName name="Percentage_of_Incoming_Straight_Tasks">'Finesse 12.0'!$B$41</definedName>
    <definedName name="Percentage_of_InterceptedCalls">'Finesse 12.0'!$B$39</definedName>
    <definedName name="Percentage_of_Interrupted_Tasks">'Finesse 12.0'!$B$43</definedName>
    <definedName name="Percentage_of_Outgoing_Straight_Calls" localSheetId="1">'Finesse 12.0'!$B$31</definedName>
    <definedName name="Percentage_of_Outgoing_Straight_Calls_v5x" localSheetId="1">#REF!</definedName>
    <definedName name="Percentage_of_Outgoing_Straight_Calls_v5x">#REF!</definedName>
    <definedName name="Percentage_of_Outgoing_Straight_Calls_v60" localSheetId="1">#REF!</definedName>
    <definedName name="Percentage_of_Outgoing_Straight_Calls_v60">#REF!</definedName>
    <definedName name="Percentage_of_Outgoing_Straight_Calls_v70" localSheetId="1">#REF!</definedName>
    <definedName name="Percentage_of_Outgoing_Straight_Calls_v70">#REF!</definedName>
    <definedName name="Percentage_of_Outgoing_Straight_Calls_v711" localSheetId="1">#REF!</definedName>
    <definedName name="Percentage_of_Outgoing_Straight_Calls_v711">#REF!</definedName>
    <definedName name="Percentage_of_Outgoing_Straight_Calls_v721" localSheetId="1">#REF!</definedName>
    <definedName name="Percentage_of_Outgoing_Straight_Calls_v721">#REF!</definedName>
    <definedName name="Percentage_of_Outgoing_Straight_Calls_v751" localSheetId="1">#REF!</definedName>
    <definedName name="Percentage_of_Outgoing_Straight_Calls_v751">#REF!</definedName>
    <definedName name="Percentage_of_Outgoing_Straight_Calls_v901" localSheetId="1">'Finesse 12.0'!$B$31</definedName>
    <definedName name="Percentage_of_Outgoing_Straight_Calls_v901">#REF!</definedName>
    <definedName name="Percentage_of_Paused_and_Resumed_Tasks">'Finesse 12.0'!$B$44</definedName>
    <definedName name="Percentage_of_Single_Step_Transfer_Calls_v5x" localSheetId="1">#REF!</definedName>
    <definedName name="Percentage_of_Single_Step_Transfer_Calls_v5x">#REF!</definedName>
    <definedName name="Percentage_of_Single_Step_Transfer_Calls_v60" localSheetId="1">#REF!</definedName>
    <definedName name="Percentage_of_Single_Step_Transfer_Calls_v60">#REF!</definedName>
    <definedName name="Percentage_of_Single_Step_Transfer_Calls_v70" localSheetId="1">#REF!</definedName>
    <definedName name="Percentage_of_Single_Step_Transfer_Calls_v70">#REF!</definedName>
    <definedName name="Percentage_of_Single_Step_Transfer_Calls_v711" localSheetId="1">#REF!</definedName>
    <definedName name="Percentage_of_Single_Step_Transfer_Calls_v711">#REF!</definedName>
    <definedName name="Percentage_of_Single_Step_Transfer_Calls_v721" localSheetId="1">#REF!</definedName>
    <definedName name="Percentage_of_Single_Step_Transfer_Calls_v721">#REF!</definedName>
    <definedName name="Percentage_of_Single_Step_Transfer_Calls_v751" localSheetId="1">#REF!</definedName>
    <definedName name="Percentage_of_Single_Step_Transfer_Calls_v751">#REF!</definedName>
    <definedName name="Percentage_of_Single_Step_Transfer_Calls_v801" localSheetId="1">'Finesse 12.0'!$B$32</definedName>
    <definedName name="Percentage_of_Single_Step_Transfer_Calls_v801">#REF!</definedName>
    <definedName name="Percentage_of_SingleStep_Transfer_Calls">'Finesse 12.0'!$B$34</definedName>
    <definedName name="Percentage_of_Transferred_Tasks">'Finesse 12.0'!$B$42</definedName>
    <definedName name="Skill_Group_Refresh_Rate">'BW Data'!$B$61</definedName>
    <definedName name="Skill_Group_Refresh_Rate_v91">'BW Data'!$D$61</definedName>
    <definedName name="Skill_Group_Update_Interval_v5x" localSheetId="1">#REF!</definedName>
    <definedName name="Skill_Group_Update_Interval_v5x">#REF!</definedName>
    <definedName name="Skill_Group_Update_Interval_v60" localSheetId="1">#REF!</definedName>
    <definedName name="Skill_Group_Update_Interval_v60">#REF!</definedName>
    <definedName name="Skill_Group_Update_Interval_v70" localSheetId="1">#REF!</definedName>
    <definedName name="Skill_Group_Update_Interval_v70">#REF!</definedName>
    <definedName name="Skill_Group_Update_Interval_v711" localSheetId="1">#REF!</definedName>
    <definedName name="Skill_Group_Update_Interval_v711">#REF!</definedName>
    <definedName name="Skill_Group_Update_Interval_v721" localSheetId="1">#REF!</definedName>
    <definedName name="Skill_Group_Update_Interval_v721">#REF!</definedName>
    <definedName name="Skill_Group_Update_Interval_v751" localSheetId="1">#REF!</definedName>
    <definedName name="Skill_Group_Update_Interval_v751">#REF!</definedName>
    <definedName name="Skill_Group_Update_Interval_v801" localSheetId="1">'Finesse 12.0'!$B$51</definedName>
    <definedName name="Skill_Group_Update_Interval_v801">#REF!</definedName>
    <definedName name="Sum_of_all_Call_Variable_Values" localSheetId="1">'Finesse 12.0'!$B$62</definedName>
    <definedName name="Sum_of_all_Call_Variable_Values_v5x" localSheetId="1">#REF!</definedName>
    <definedName name="Sum_of_all_Call_Variable_Values_v5x">#REF!</definedName>
    <definedName name="Sum_of_all_Call_Variable_Values_v60" localSheetId="1">#REF!</definedName>
    <definedName name="Sum_of_all_Call_Variable_Values_v60">#REF!</definedName>
    <definedName name="Sum_of_all_Call_Variable_Values_v70" localSheetId="1">#REF!</definedName>
    <definedName name="Sum_of_all_Call_Variable_Values_v70">#REF!</definedName>
    <definedName name="Sum_of_all_Call_Variable_Values_v711" localSheetId="1">#REF!</definedName>
    <definedName name="Sum_of_all_Call_Variable_Values_v711">#REF!</definedName>
    <definedName name="Sum_of_all_Call_Variable_Values_v721" localSheetId="1">#REF!</definedName>
    <definedName name="Sum_of_all_Call_Variable_Values_v721">#REF!</definedName>
    <definedName name="Sum_of_all_Call_Variable_Values_v751" localSheetId="1">#REF!</definedName>
    <definedName name="Sum_of_all_Call_Variable_Values_v751">#REF!</definedName>
    <definedName name="Sum_of_all_Call_Variable_Values_v901" localSheetId="1">'Finesse 12.0'!$B$62</definedName>
    <definedName name="Sum_of_all_Call_Variable_Values_v901">#REF!</definedName>
    <definedName name="Sum_of_all_ECC_Variable_Names" localSheetId="1">'Finesse 12.0'!$B$58</definedName>
    <definedName name="Sum_of_all_ECC_Variable_Names_v5x" localSheetId="1">#REF!</definedName>
    <definedName name="Sum_of_all_ECC_Variable_Names_v5x">#REF!</definedName>
    <definedName name="Sum_of_all_ECC_Variable_Names_v60" localSheetId="1">#REF!</definedName>
    <definedName name="Sum_of_all_ECC_Variable_Names_v60">#REF!</definedName>
    <definedName name="Sum_of_all_ECC_Variable_Names_v70" localSheetId="1">#REF!</definedName>
    <definedName name="Sum_of_all_ECC_Variable_Names_v70">#REF!</definedName>
    <definedName name="Sum_of_all_ECC_Variable_Names_v711" localSheetId="1">#REF!</definedName>
    <definedName name="Sum_of_all_ECC_Variable_Names_v711">#REF!</definedName>
    <definedName name="Sum_of_all_ECC_Variable_Names_v721" localSheetId="1">#REF!</definedName>
    <definedName name="Sum_of_all_ECC_Variable_Names_v721">#REF!</definedName>
    <definedName name="Sum_of_all_ECC_Variable_Names_v751" localSheetId="1">#REF!</definedName>
    <definedName name="Sum_of_all_ECC_Variable_Names_v751">#REF!</definedName>
    <definedName name="Sum_of_all_ECC_Variable_Names_v901" localSheetId="1">'Finesse 12.0'!$B$58</definedName>
    <definedName name="Sum_of_all_ECC_Variable_Names_v901">#REF!</definedName>
    <definedName name="Sum_of_all_ECC_Variable_Values" localSheetId="1">'Finesse 12.0'!$B$59</definedName>
    <definedName name="Sum_of_all_ECC_Variable_Values_v5x" localSheetId="1">#REF!</definedName>
    <definedName name="Sum_of_all_ECC_Variable_Values_v5x">#REF!</definedName>
    <definedName name="Sum_of_all_ECC_Variable_Values_v60" localSheetId="1">#REF!</definedName>
    <definedName name="Sum_of_all_ECC_Variable_Values_v60">#REF!</definedName>
    <definedName name="Sum_of_all_ECC_Variable_Values_v70" localSheetId="1">#REF!</definedName>
    <definedName name="Sum_of_all_ECC_Variable_Values_v70">#REF!</definedName>
    <definedName name="Sum_of_all_ECC_Variable_Values_v711" localSheetId="1">#REF!</definedName>
    <definedName name="Sum_of_all_ECC_Variable_Values_v711">#REF!</definedName>
    <definedName name="Sum_of_all_ECC_Variable_Values_v721" localSheetId="1">#REF!</definedName>
    <definedName name="Sum_of_all_ECC_Variable_Values_v721">#REF!</definedName>
    <definedName name="Sum_of_all_ECC_Variable_Values_v751" localSheetId="1">#REF!</definedName>
    <definedName name="Sum_of_all_ECC_Variable_Values_v751">#REF!</definedName>
    <definedName name="Sum_of_all_ECC_Variable_Values_v901" localSheetId="1">'Finesse 12.0'!$B$59</definedName>
    <definedName name="Sum_of_all_ECC_Variable_Values_v901">#REF!</definedName>
    <definedName name="Tasks_Per_Second">'Finesse 12.0'!$B$28</definedName>
    <definedName name="Total" localSheetId="1">'Finesse 12.0'!$B$36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8" i="17" l="1"/>
  <c r="B129" i="17"/>
  <c r="B157" i="17"/>
  <c r="B88" i="17"/>
  <c r="B116" i="17" s="1"/>
  <c r="B115" i="17"/>
  <c r="B158" i="17" l="1"/>
  <c r="E12" i="5"/>
  <c r="F8" i="5"/>
  <c r="E8" i="5"/>
  <c r="F7" i="5"/>
  <c r="F6" i="5"/>
  <c r="F5" i="5"/>
  <c r="E10" i="5"/>
  <c r="F10" i="5"/>
  <c r="E7" i="5"/>
  <c r="E6" i="5"/>
  <c r="E5" i="5"/>
  <c r="F12" i="5"/>
  <c r="F11" i="5"/>
  <c r="E11" i="5"/>
  <c r="F9" i="5"/>
  <c r="E9" i="5"/>
  <c r="B155" i="17"/>
  <c r="E50" i="5" l="1"/>
  <c r="F49" i="5"/>
  <c r="E49" i="5"/>
  <c r="F48" i="5"/>
  <c r="E48" i="5"/>
  <c r="F47" i="5"/>
  <c r="E47" i="5"/>
  <c r="F26" i="5"/>
  <c r="E26" i="5"/>
  <c r="F25" i="5"/>
  <c r="E25" i="5"/>
  <c r="F24" i="5"/>
  <c r="E24" i="5"/>
  <c r="F23" i="5"/>
  <c r="E23" i="5"/>
  <c r="F22" i="5"/>
  <c r="E22" i="5"/>
  <c r="F21" i="5"/>
  <c r="E21" i="5"/>
  <c r="B106" i="17" l="1"/>
  <c r="B176" i="17"/>
  <c r="E31" i="5"/>
  <c r="E30" i="5"/>
  <c r="B174" i="17" l="1"/>
  <c r="B175" i="17" s="1"/>
  <c r="B177" i="17" s="1"/>
  <c r="B178" i="17" s="1"/>
  <c r="B87" i="17"/>
  <c r="B73" i="17"/>
  <c r="B75" i="17" s="1"/>
  <c r="B15" i="17"/>
  <c r="B69" i="17" s="1"/>
  <c r="B13" i="17"/>
  <c r="B74" i="17" s="1"/>
  <c r="B76" i="17" s="1"/>
  <c r="B22" i="17"/>
  <c r="B23" i="17" s="1"/>
  <c r="B28" i="17"/>
  <c r="B149" i="17" s="1"/>
  <c r="B152" i="17"/>
  <c r="B111" i="17"/>
  <c r="B45" i="17"/>
  <c r="B12" i="5"/>
  <c r="D11" i="5"/>
  <c r="B11" i="5"/>
  <c r="B10" i="5"/>
  <c r="D9" i="5"/>
  <c r="B9" i="5"/>
  <c r="B5" i="5"/>
  <c r="D5" i="5"/>
  <c r="B6" i="5"/>
  <c r="B7" i="5"/>
  <c r="D7" i="5"/>
  <c r="B8" i="5"/>
  <c r="B127" i="17"/>
  <c r="B54" i="17"/>
  <c r="B68" i="17" l="1"/>
  <c r="B108" i="17"/>
  <c r="B107" i="17"/>
  <c r="B148" i="17"/>
  <c r="B151" i="17"/>
  <c r="B67" i="17"/>
  <c r="B71" i="17" s="1"/>
  <c r="B138" i="17"/>
  <c r="B142" i="17"/>
  <c r="B146" i="17"/>
  <c r="B96" i="17"/>
  <c r="B100" i="17"/>
  <c r="B104" i="17"/>
  <c r="B131" i="17"/>
  <c r="B144" i="17"/>
  <c r="B102" i="17"/>
  <c r="B145" i="17"/>
  <c r="B95" i="17"/>
  <c r="B99" i="17"/>
  <c r="B91" i="17"/>
  <c r="B134" i="17"/>
  <c r="B139" i="17"/>
  <c r="B143" i="17"/>
  <c r="B147" i="17"/>
  <c r="B93" i="17"/>
  <c r="B97" i="17"/>
  <c r="B101" i="17"/>
  <c r="B105" i="17"/>
  <c r="B89" i="17"/>
  <c r="B132" i="17"/>
  <c r="B136" i="17"/>
  <c r="B94" i="17"/>
  <c r="B98" i="17"/>
  <c r="B130" i="17"/>
  <c r="B137" i="17"/>
  <c r="B140" i="17"/>
  <c r="B90" i="17"/>
  <c r="B141" i="17"/>
  <c r="B103" i="17"/>
  <c r="B110" i="17"/>
  <c r="B150" i="17"/>
  <c r="B66" i="17"/>
  <c r="B109" i="17"/>
  <c r="B70" i="17" l="1"/>
  <c r="B154" i="17"/>
  <c r="B113" i="17"/>
  <c r="B112" i="17"/>
  <c r="B153" i="17"/>
  <c r="B156" i="17" l="1"/>
  <c r="B114" i="17"/>
  <c r="D106" i="17" s="1"/>
  <c r="D150" i="17" l="1"/>
  <c r="D93" i="17"/>
  <c r="D111" i="17"/>
  <c r="D101" i="17"/>
  <c r="D109" i="17"/>
  <c r="D91" i="17"/>
  <c r="D103" i="17"/>
  <c r="D151" i="17"/>
  <c r="D110" i="17"/>
  <c r="D98" i="17"/>
  <c r="D90" i="17"/>
  <c r="D104" i="17"/>
  <c r="D107" i="17"/>
  <c r="D97" i="17"/>
  <c r="D99" i="17"/>
  <c r="D87" i="17"/>
  <c r="D100" i="17"/>
  <c r="D94" i="17"/>
  <c r="D152" i="17"/>
  <c r="D95" i="17"/>
  <c r="D112" i="17"/>
  <c r="D148" i="17"/>
  <c r="D96" i="17"/>
  <c r="D149" i="17"/>
  <c r="D105" i="17"/>
  <c r="D108" i="17"/>
  <c r="D113" i="17"/>
  <c r="D89" i="17"/>
  <c r="D102" i="17"/>
  <c r="D88" i="17"/>
  <c r="D134" i="17"/>
  <c r="D146" i="17"/>
  <c r="D136" i="17"/>
  <c r="D143" i="17"/>
  <c r="D142" i="17"/>
  <c r="D154" i="17"/>
  <c r="D127" i="17"/>
  <c r="D135" i="17"/>
  <c r="D153" i="17"/>
  <c r="D130" i="17"/>
  <c r="D139" i="17"/>
  <c r="D140" i="17"/>
  <c r="D131" i="17"/>
  <c r="D129" i="17"/>
  <c r="D144" i="17"/>
  <c r="D138" i="17"/>
  <c r="D137" i="17"/>
  <c r="D132" i="17"/>
  <c r="D141" i="17"/>
  <c r="D147" i="17"/>
  <c r="D128" i="17"/>
  <c r="D145" i="17"/>
  <c r="D114" i="17" l="1"/>
  <c r="D156" i="17"/>
</calcChain>
</file>

<file path=xl/sharedStrings.xml><?xml version="1.0" encoding="utf-8"?>
<sst xmlns="http://schemas.openxmlformats.org/spreadsheetml/2006/main" count="522" uniqueCount="268">
  <si>
    <t>Message Header + TCP Overhead</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</si>
  <si>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</si>
  <si>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</si>
  <si>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</si>
  <si>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</si>
  <si>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</si>
  <si>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</si>
  <si>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</si>
  <si>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</si>
  <si>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</si>
  <si>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Value</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</si>
  <si>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</si>
  <si>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</si>
  <si>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</si>
  <si>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</si>
  <si>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</si>
  <si>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</si>
  <si>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</si>
  <si>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</si>
  <si>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</si>
  <si>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</si>
  <si>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</si>
  <si>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</si>
  <si>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</si>
  <si>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</si>
  <si>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</si>
  <si>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</si>
  <si>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</si>
  <si>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</si>
  <si>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</si>
  <si>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</si>
  <si>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</si>
  <si>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</si>
  <si>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</si>
  <si>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</si>
  <si>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</si>
  <si>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</si>
  <si>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</si>
  <si>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</si>
  <si>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</si>
  <si>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</si>
  <si>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</si>
  <si>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</si>
  <si>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</si>
  <si>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</si>
  <si>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</si>
  <si>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</si>
  <si>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</si>
  <si>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</si>
  <si>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</si>
  <si>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</si>
  <si>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</si>
  <si>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</si>
  <si>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</si>
  <si>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</si>
  <si>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</si>
  <si>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</si>
  <si>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</si>
  <si>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</si>
  <si>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</si>
  <si>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</si>
  <si>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</si>
  <si>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</si>
  <si>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</si>
  <si>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</si>
  <si>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</si>
  <si>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</si>
  <si>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</si>
  <si>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Average number of Skill Groups per Supervisor</t>
  </si>
  <si>
    <t>0 &lt;= "Sum of all Call Variable Values" &lt;= 400
Maximum length is 40 chars per variable</t>
  </si>
  <si>
    <t>2000 maximum</t>
  </si>
  <si>
    <t>(N/A for Finesse) Number of All Agents Monitors</t>
  </si>
  <si>
    <t>(N/A for Finesse) Percentage of Single Step Transfer Calls</t>
  </si>
  <si>
    <t>Finesse Bandwidth Calculator</t>
  </si>
  <si>
    <t>CCE Configuration Information</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</si>
  <si>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</si>
  <si>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</si>
  <si>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</si>
  <si>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</si>
  <si>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</si>
  <si>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</si>
  <si>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</si>
  <si>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(N/A for Finesse)  Single Step Transfer Bandwidth</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</si>
  <si>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</si>
  <si>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</si>
  <si>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</si>
  <si>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</si>
  <si>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</si>
  <si>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</si>
  <si>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</si>
  <si>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</si>
  <si>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</si>
  <si>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</si>
  <si>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</si>
  <si>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</si>
  <si>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</si>
  <si>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</si>
  <si>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</si>
  <si>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</si>
  <si>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</si>
  <si>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</si>
  <si>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</si>
  <si>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</si>
  <si>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</si>
  <si>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</si>
  <si>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</si>
  <si>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</si>
  <si>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</si>
  <si>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</si>
  <si>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</si>
  <si>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</si>
  <si>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</si>
  <si>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</si>
  <si>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</si>
  <si>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</si>
  <si>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</si>
  <si>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</si>
  <si>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Login</t>
  </si>
  <si>
    <t>minute(s)</t>
  </si>
  <si>
    <t>Maximum Login Time for all users</t>
  </si>
  <si>
    <t>1. Enter the appropriate values in the yellow boxes to characterize the Call Center to be evaluated.</t>
  </si>
  <si>
    <t>2. Do not modify any cells that are green or grey.</t>
  </si>
  <si>
    <t>3. Total Bandwidth, Agent Bandwidth and Supervisor Bandwidth requirements are calculated and presented at the bottom of the spreadsheet.</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</si>
  <si>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</si>
  <si>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2. The "BW Data" sheet should not be modified.  It contains the empirical data collected to model the bandwidth utilization.</t>
  </si>
  <si>
    <t>5. The bandwidth calculations in this spreadsheet are for control messaging between Finesse desktop and server, and do not include the RTP voice stream bandwidth, nor Silent Monitoring RTP stream bandwidth.</t>
  </si>
  <si>
    <t>Bytes</t>
  </si>
  <si>
    <t>The total amount of time it should take for all agents to log into the Finesse server including Finesse failover conditions.  If the deployment includes 2000 agents and this value is set to 5 minutes, all 2000 agents should be able to point their browser to Finesse and complete the login sequence within 5 minutes.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</si>
  <si>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</si>
  <si>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</si>
  <si>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</si>
  <si>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</si>
  <si>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</si>
  <si>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</si>
  <si>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</si>
  <si>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</si>
  <si>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Post-Login Client to Server  Bandwidth</t>
  </si>
  <si>
    <t>Finesse Server to CTI Server  Bandwidth</t>
  </si>
  <si>
    <t>Supervisor Login</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</si>
  <si>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</si>
  <si>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</si>
  <si>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</si>
  <si>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</si>
  <si>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</si>
  <si>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</si>
  <si>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</si>
  <si>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</si>
  <si>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</si>
  <si>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</si>
  <si>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</si>
  <si>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Number of configured skill groups on the PG</t>
  </si>
  <si>
    <t>Single Step Transfer Bandwidth</t>
  </si>
  <si>
    <t xml:space="preserve">3. The calculator is based on per Finesse server per site. If one Finesse Server has more than one remote site, then the calculator should be run once for each remote site to be evaluated. </t>
  </si>
  <si>
    <t xml:space="preserve">4. For distributed deployments (i.e. not all agents located at the same physical site), the Finesse Bandwidth Calculator should be run once for each site to calculate the bandwidth required between each site and it's respective Finesse server.  </t>
  </si>
  <si>
    <t>Context Service</t>
  </si>
  <si>
    <t>CS gadget authentication requests</t>
  </si>
  <si>
    <t xml:space="preserve">POD Update </t>
  </si>
  <si>
    <t>Agent Voice Login - No Caching - without SSO</t>
  </si>
  <si>
    <t>Agent Voice Login - Caching - without SSO</t>
  </si>
  <si>
    <t>Supervisor Voice Login - No Caching - without SSO</t>
  </si>
  <si>
    <t>Supervisor Voice Login - Caching - without SSO</t>
  </si>
  <si>
    <t>Agent Voice Login - No Caching - with SSO</t>
  </si>
  <si>
    <t>Agent Voice Login - Caching - with SSO</t>
  </si>
  <si>
    <t>Supervisor Voice Login - No Caching - with SSO</t>
  </si>
  <si>
    <t>Supervisor Voice Login - Caching - with SSO</t>
  </si>
  <si>
    <t>Task Scenarios</t>
  </si>
  <si>
    <t>Incoming Task - All Messages</t>
  </si>
  <si>
    <t>Pause Task - All Messages</t>
  </si>
  <si>
    <t>Resume Task - All Messages</t>
  </si>
  <si>
    <t>Avg_Agent_State_Changes_Per_Task_NoWrap</t>
  </si>
  <si>
    <t>Avg_Agent_State_Changes_Per_Task_Wrap</t>
  </si>
  <si>
    <t>Number of multi-channel agents</t>
  </si>
  <si>
    <t>Average number of non-voice MRDs per multi-channel agent</t>
  </si>
  <si>
    <t>Non-voice MRDs</t>
  </si>
  <si>
    <t>Task Profile</t>
  </si>
  <si>
    <t>Busy Hour Task Attempts</t>
  </si>
  <si>
    <t>tasks/hour</t>
  </si>
  <si>
    <t>Typically 5 tasks per hour per agent</t>
  </si>
  <si>
    <t>Agent Task Wrap-Up Time</t>
  </si>
  <si>
    <t>Average Task Duration</t>
  </si>
  <si>
    <t>Tasks Per Second</t>
  </si>
  <si>
    <t>Equal to ((Number of Agents) / (Average Task Duration))</t>
  </si>
  <si>
    <t>Task Distribution</t>
  </si>
  <si>
    <t>Percentage of Incoming Straight Tasks</t>
  </si>
  <si>
    <t>Percentage of Transferred Tasks</t>
  </si>
  <si>
    <t>85% Straight Tasks Typical, 10% Transferred Tasks</t>
  </si>
  <si>
    <t>Adjust Task Distribution to equal 100%</t>
  </si>
  <si>
    <t>Agent Voice Login Bandwidth - No Caching</t>
  </si>
  <si>
    <t>Agent Voice Login Bandwidth - Caching</t>
  </si>
  <si>
    <t>Supervisor Voice Login Bandwidth - No Caching</t>
  </si>
  <si>
    <t>Supervisor Voice Login Bandwidth - Caching</t>
  </si>
  <si>
    <t>Total Voice Bandwidth - No Caching</t>
  </si>
  <si>
    <t>Total Voice Bandwidth - Caching</t>
  </si>
  <si>
    <t>Agent Non-Voice Login Bandwidth - No Caching</t>
  </si>
  <si>
    <t>Agent Non-Voice Login Bandwidth - Caching</t>
  </si>
  <si>
    <t>Total Number of Agents</t>
  </si>
  <si>
    <t>Number of SSO enabled agents</t>
  </si>
  <si>
    <t>Number of SSO enabled supervisors</t>
  </si>
  <si>
    <t>Number of non-SSO supervisors</t>
  </si>
  <si>
    <t>agents(s)</t>
  </si>
  <si>
    <t>Total Non-Voice Bandwidth - No Caching</t>
  </si>
  <si>
    <t>Total Non-Voice Bandwidth - Caching</t>
  </si>
  <si>
    <t>Client to Finesse Server Voice Login Bandwidth</t>
  </si>
  <si>
    <t>Client to Finesse Server Non-Voice Login Bandwidth</t>
  </si>
  <si>
    <t>Percentage of Interrupted Tasks</t>
  </si>
  <si>
    <t>Straight Task Bandwidth</t>
  </si>
  <si>
    <t>Single Step Task Transfer Bandwidth</t>
  </si>
  <si>
    <t>Interrupted Task Bandwidth</t>
  </si>
  <si>
    <t>Paused and Resumed Task Bandwidth</t>
  </si>
  <si>
    <t>Transfer Task - All Messages</t>
  </si>
  <si>
    <t>Interrupted Task - All Messages</t>
  </si>
  <si>
    <t>Task Wrap-Up Bandwidth</t>
  </si>
  <si>
    <t xml:space="preserve">Agent Non-voice (1 MRD) Login - No Caching </t>
  </si>
  <si>
    <t>Agent Non-voice (1 MRD) Login - Caching</t>
  </si>
  <si>
    <t>Supervisor Non-voice (1 MRD) Login - No Caching</t>
  </si>
  <si>
    <t>Supervisor Non-Voice (1 MRD) Login - Caching</t>
  </si>
  <si>
    <t>Chat Scenarios</t>
  </si>
  <si>
    <t xml:space="preserve">To establish a single Chat session </t>
  </si>
  <si>
    <t>NA</t>
  </si>
  <si>
    <t>Send or Receive a single character to a Chat peer</t>
  </si>
  <si>
    <t>Presence and State change for one of the contacts</t>
  </si>
  <si>
    <t>1 MB Attachment transfer to a Chat peer</t>
  </si>
  <si>
    <t>Number of new Chats sessions for an Agent/hour</t>
  </si>
  <si>
    <t>chat sessions/hour</t>
  </si>
  <si>
    <t>messages/minute</t>
  </si>
  <si>
    <t>Avg. no of characters per message</t>
  </si>
  <si>
    <t>Avg. no of contacts in address book per Agent</t>
  </si>
  <si>
    <t>Avg. no of 1 MB File Transfers per contact/hour</t>
  </si>
  <si>
    <t>transfers/minute</t>
  </si>
  <si>
    <t>Avg no of State changes per contact/hour</t>
  </si>
  <si>
    <t>Maximum Chat server Login Time for all users</t>
  </si>
  <si>
    <t>Cost to fetch one contact's Presence while Login</t>
  </si>
  <si>
    <t>Total no of Agents on Chat</t>
  </si>
  <si>
    <t>The total amount of time it should take for all agents to log into the Chat server.  If the deployment includes 300 agents and this value is set to 5 minutes.</t>
  </si>
  <si>
    <t>Chat Related Parameters</t>
  </si>
  <si>
    <t>Measured HTTP Bandwidth for an Agent</t>
  </si>
  <si>
    <t>Agent Chat Bandwidth</t>
  </si>
  <si>
    <t>Idle Bandwidth for an Agent to be Logged on to Chat Service</t>
  </si>
  <si>
    <t>Post-Login Desktop to IM&amp;P Server (chat) Bandwidth</t>
  </si>
  <si>
    <t>Team Messages Related Parameters</t>
  </si>
  <si>
    <t>Messages/Hour</t>
  </si>
  <si>
    <t>Single Team Message size</t>
  </si>
  <si>
    <t>Avg. Team Messages Bandwidth per Agent</t>
  </si>
  <si>
    <t>Release 12.0</t>
  </si>
  <si>
    <t>Finesse 12.0</t>
  </si>
  <si>
    <t>12.0
Client to Server</t>
  </si>
  <si>
    <t>12.0
Server to CTI</t>
  </si>
  <si>
    <t>12.0 FIPPA</t>
  </si>
  <si>
    <t>Number of non-SSO agents</t>
  </si>
  <si>
    <r>
      <t>DISCLAIMER</t>
    </r>
    <r>
      <rPr>
        <sz val="10"/>
        <color indexed="10"/>
        <rFont val="Arial"/>
        <family val="2"/>
      </rPr>
      <t xml:space="preserve">: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 </t>
    </r>
  </si>
  <si>
    <r>
      <rPr>
        <b/>
        <sz val="10"/>
        <rFont val="Arial"/>
        <family val="2"/>
      </rPr>
      <t>Note</t>
    </r>
    <r>
      <rPr>
        <sz val="10"/>
        <rFont val="Arial"/>
      </rPr>
      <t>: Only make changes to fields in yellow.</t>
    </r>
  </si>
  <si>
    <t>Total Queue Statistics Polling Bandwidth</t>
  </si>
  <si>
    <t>Finesse Server to CTI Server Bandwidth for Queue Statistics Polling</t>
  </si>
  <si>
    <t>Link</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</si>
  <si>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</si>
  <si>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Percentage of Paused and Resumed Tasks</t>
  </si>
  <si>
    <t>Maximum No of Team Messages/hour</t>
  </si>
  <si>
    <t xml:space="preserve">No of Skill groups configured </t>
  </si>
  <si>
    <t>Queue Statistics bandwidth for a single poll/Skill Group</t>
  </si>
  <si>
    <t>kbps/Skill Group</t>
  </si>
  <si>
    <t>Avg. no of messages exchanged(Sent and Received) per Agent /minute</t>
  </si>
  <si>
    <r>
      <rPr>
        <b/>
        <sz val="10"/>
        <rFont val="Arial"/>
        <family val="2"/>
      </rPr>
      <t>NOTE:</t>
    </r>
    <r>
      <rPr>
        <sz val="10"/>
        <rFont val="Arial"/>
        <family val="2"/>
      </rPr>
      <t xml:space="preserve"> Bandwidth requirements related to Live Data related reports(i.e. State and Call History reports etc.) are not included in the Client to Finesse Server bandwidth calculations. The bandwidth related to Live Data reports has to be considered separately. Please, refer the following link below</t>
    </r>
  </si>
  <si>
    <t xml:space="preserve">   Number of teams for supervisor</t>
  </si>
  <si>
    <t>team(s)</t>
  </si>
  <si>
    <t>The number of teams supervisor is monitoring.</t>
  </si>
  <si>
    <t xml:space="preserve">   Concurrent agent sessions Per TPG</t>
  </si>
  <si>
    <t>0 Default, 50 agents per team maximum, used in calculating tpg bandwidth, (considering 30 agents in call for 1 team)</t>
  </si>
  <si>
    <t>Number_of_TPG_Configured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</si>
</sst>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15"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
      <u/>
      <sz val="10"/>
      <color theme="10"/>
      <name val="Arial"/>
      <family val="2"/>
    </font>
    <font>
      <u/>
      <sz val="14"/>
      <color theme="10"/>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s>
  <cellStyleXfs count="4">
    <xf numFmtId="0" fontId="0" fillId="0" borderId="0"/>
    <xf numFmtId="164" fontId="10"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cellStyleXfs>
  <cellXfs count="315">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5"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5"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5"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5"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0" borderId="0" xfId="0" applyFill="1" applyBorder="1" applyAlignment="1"/>
    <xf numFmtId="0" fontId="0" fillId="4" borderId="2" xfId="0" applyFill="1" applyBorder="1" applyAlignment="1" applyProtection="1">
      <alignment horizontal="center" vertical="top"/>
      <protection locked="0"/>
    </xf>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4" xfId="0" applyFill="1" applyBorder="1" applyAlignment="1" applyProtection="1">
      <alignment horizontal="center" vertical="top"/>
      <protection locked="0"/>
    </xf>
    <xf numFmtId="0" fontId="0" fillId="4" borderId="1" xfId="0" applyFill="1" applyBorder="1" applyAlignment="1" applyProtection="1">
      <alignment horizontal="center" vertical="top"/>
      <protection locked="0"/>
    </xf>
    <xf numFmtId="0" fontId="2" fillId="4" borderId="14" xfId="0" applyFon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5"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165" fontId="8" fillId="2" borderId="14" xfId="0" applyNumberFormat="1" applyFont="1" applyFill="1" applyBorder="1" applyAlignment="1">
      <alignment horizontal="center"/>
    </xf>
    <xf numFmtId="0" fontId="8" fillId="2" borderId="8" xfId="0" applyFont="1" applyFill="1" applyBorder="1" applyAlignment="1">
      <alignment horizontal="left" indent="2"/>
    </xf>
    <xf numFmtId="0" fontId="8" fillId="2" borderId="1" xfId="0" applyFont="1" applyFill="1" applyBorder="1"/>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4" borderId="16" xfId="0" applyFont="1" applyFill="1" applyBorder="1" applyAlignment="1" applyProtection="1">
      <alignment horizontal="center" vertical="top"/>
      <protection locked="0"/>
    </xf>
    <xf numFmtId="0" fontId="8" fillId="2" borderId="16" xfId="0" applyFont="1" applyFill="1" applyBorder="1" applyAlignment="1">
      <alignment vertical="top"/>
    </xf>
    <xf numFmtId="0" fontId="12" fillId="2" borderId="1" xfId="0" applyFont="1" applyFill="1" applyBorder="1" applyAlignment="1">
      <alignment horizontal="left" vertical="top" indent="1"/>
    </xf>
    <xf numFmtId="0" fontId="12" fillId="4" borderId="1" xfId="0" applyFont="1" applyFill="1" applyBorder="1" applyAlignment="1" applyProtection="1">
      <alignment horizontal="center" vertical="top"/>
      <protection locked="0"/>
    </xf>
    <xf numFmtId="0" fontId="12" fillId="2" borderId="1" xfId="0" applyFont="1" applyFill="1" applyBorder="1" applyAlignment="1">
      <alignment vertical="top"/>
    </xf>
    <xf numFmtId="166" fontId="0" fillId="2" borderId="1" xfId="1" applyNumberFormat="1" applyFont="1" applyFill="1" applyBorder="1" applyAlignment="1">
      <alignment horizontal="center"/>
    </xf>
    <xf numFmtId="164" fontId="0" fillId="0" borderId="0" xfId="0" applyNumberFormat="1"/>
    <xf numFmtId="166" fontId="4" fillId="3" borderId="5" xfId="1" applyNumberFormat="1" applyFont="1" applyFill="1" applyBorder="1" applyAlignment="1">
      <alignment horizontal="center"/>
    </xf>
    <xf numFmtId="0" fontId="1" fillId="3" borderId="24" xfId="0" applyFont="1" applyFill="1" applyBorder="1" applyAlignment="1"/>
    <xf numFmtId="0" fontId="1" fillId="3" borderId="47" xfId="0" applyFont="1" applyFill="1" applyBorder="1" applyAlignment="1">
      <alignment horizontal="center"/>
    </xf>
    <xf numFmtId="0" fontId="1" fillId="3" borderId="48" xfId="0" applyFont="1" applyFill="1" applyBorder="1" applyAlignment="1">
      <alignment horizontal="center"/>
    </xf>
    <xf numFmtId="165" fontId="1" fillId="3" borderId="7" xfId="0" applyNumberFormat="1" applyFont="1" applyFill="1" applyBorder="1" applyAlignment="1">
      <alignment horizontal="center" wrapText="1"/>
    </xf>
    <xf numFmtId="0" fontId="1" fillId="3" borderId="49" xfId="0" applyFont="1" applyFill="1" applyBorder="1" applyAlignment="1"/>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2" borderId="8" xfId="0" applyFill="1" applyBorder="1"/>
    <xf numFmtId="0" fontId="2" fillId="2" borderId="8" xfId="0" applyFont="1" applyFill="1" applyBorder="1"/>
    <xf numFmtId="0" fontId="2" fillId="2" borderId="9" xfId="0" applyFont="1" applyFill="1" applyBorder="1"/>
    <xf numFmtId="0" fontId="0" fillId="2" borderId="2"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1" xfId="0" applyFill="1" applyBorder="1" applyAlignment="1">
      <alignment horizontal="center"/>
    </xf>
    <xf numFmtId="0" fontId="1" fillId="3" borderId="0" xfId="0" applyFont="1" applyFill="1" applyBorder="1" applyAlignment="1">
      <alignment horizontal="left"/>
    </xf>
    <xf numFmtId="0" fontId="1" fillId="3" borderId="45" xfId="0" applyFont="1" applyFill="1" applyBorder="1" applyAlignment="1">
      <alignment horizontal="left"/>
    </xf>
    <xf numFmtId="0" fontId="0" fillId="2" borderId="0" xfId="0" applyFill="1" applyBorder="1" applyAlignment="1">
      <alignment horizontal="center"/>
    </xf>
    <xf numFmtId="0" fontId="1" fillId="3" borderId="45" xfId="0" applyFont="1" applyFill="1" applyBorder="1" applyAlignment="1">
      <alignment horizontal="center"/>
    </xf>
    <xf numFmtId="0" fontId="2" fillId="2" borderId="1" xfId="0" applyFont="1" applyFill="1" applyBorder="1" applyAlignment="1">
      <alignment horizontal="center"/>
    </xf>
    <xf numFmtId="0" fontId="2" fillId="2" borderId="51"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6" borderId="51" xfId="0" applyFill="1" applyBorder="1" applyAlignment="1">
      <alignment horizontal="center"/>
    </xf>
    <xf numFmtId="0" fontId="1" fillId="6" borderId="0" xfId="0" applyFont="1" applyFill="1" applyBorder="1" applyAlignment="1">
      <alignment horizontal="left"/>
    </xf>
    <xf numFmtId="0" fontId="1" fillId="6" borderId="45"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5"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6" fontId="2" fillId="2" borderId="51" xfId="1" applyNumberFormat="1" applyFont="1" applyFill="1" applyBorder="1" applyAlignment="1">
      <alignment horizontal="center"/>
    </xf>
    <xf numFmtId="166" fontId="0" fillId="2" borderId="51" xfId="1" applyNumberFormat="1" applyFont="1" applyFill="1" applyBorder="1" applyAlignment="1">
      <alignment horizontal="center"/>
    </xf>
    <xf numFmtId="0" fontId="6" fillId="0" borderId="0" xfId="0" applyFont="1" applyAlignment="1">
      <alignment horizontal="left" vertical="top" wrapText="1"/>
    </xf>
    <xf numFmtId="166" fontId="2" fillId="2" borderId="51" xfId="1" applyNumberFormat="1" applyFont="1" applyFill="1" applyBorder="1" applyAlignment="1">
      <alignment horizontal="right"/>
    </xf>
    <xf numFmtId="166" fontId="0" fillId="2" borderId="51" xfId="1" applyNumberFormat="1" applyFont="1" applyFill="1" applyBorder="1" applyAlignment="1">
      <alignment horizontal="right"/>
    </xf>
    <xf numFmtId="0" fontId="2" fillId="2" borderId="51" xfId="0" applyFont="1" applyFill="1" applyBorder="1" applyAlignment="1">
      <alignment horizontal="right"/>
    </xf>
    <xf numFmtId="0" fontId="2" fillId="2" borderId="1" xfId="0" applyFont="1" applyFill="1" applyBorder="1" applyAlignment="1">
      <alignment horizontal="right"/>
    </xf>
    <xf numFmtId="0" fontId="0" fillId="2" borderId="51"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 fillId="3" borderId="0" xfId="0" applyFont="1" applyFill="1" applyBorder="1" applyAlignment="1">
      <alignment horizontal="right"/>
    </xf>
    <xf numFmtId="0" fontId="1" fillId="3" borderId="45" xfId="0" applyFont="1" applyFill="1" applyBorder="1" applyAlignment="1">
      <alignment horizontal="right"/>
    </xf>
    <xf numFmtId="0" fontId="0" fillId="2" borderId="0" xfId="0" applyFill="1" applyBorder="1" applyAlignment="1">
      <alignment horizontal="right"/>
    </xf>
    <xf numFmtId="0" fontId="2" fillId="2" borderId="15" xfId="0" applyFont="1" applyFill="1" applyBorder="1" applyAlignment="1">
      <alignment horizontal="right"/>
    </xf>
    <xf numFmtId="0" fontId="1" fillId="3" borderId="46" xfId="0" applyFont="1" applyFill="1" applyBorder="1" applyAlignment="1">
      <alignment horizontal="right"/>
    </xf>
    <xf numFmtId="0" fontId="0" fillId="0" borderId="50" xfId="0" applyBorder="1" applyAlignment="1">
      <alignment horizontal="right"/>
    </xf>
    <xf numFmtId="0" fontId="2" fillId="2" borderId="7" xfId="0" applyFont="1" applyFill="1" applyBorder="1" applyAlignment="1">
      <alignment horizontal="right"/>
    </xf>
    <xf numFmtId="0" fontId="0" fillId="2" borderId="7" xfId="0" applyFill="1" applyBorder="1" applyAlignment="1">
      <alignment horizontal="right"/>
    </xf>
    <xf numFmtId="0" fontId="0" fillId="2" borderId="37" xfId="0" applyFill="1" applyBorder="1" applyAlignment="1">
      <alignment horizontal="right"/>
    </xf>
    <xf numFmtId="0" fontId="0" fillId="2" borderId="3" xfId="0" applyFill="1" applyBorder="1" applyAlignment="1">
      <alignment horizontal="right"/>
    </xf>
    <xf numFmtId="0" fontId="2" fillId="2" borderId="17" xfId="0" applyFont="1" applyFill="1" applyBorder="1"/>
    <xf numFmtId="0" fontId="2" fillId="6" borderId="17" xfId="0" applyFont="1" applyFill="1" applyBorder="1"/>
    <xf numFmtId="0" fontId="2" fillId="6" borderId="9" xfId="0" applyFont="1" applyFill="1" applyBorder="1"/>
    <xf numFmtId="9" fontId="0" fillId="2" borderId="37" xfId="0" applyNumberFormat="1" applyFill="1" applyBorder="1" applyAlignment="1">
      <alignment horizontal="left" vertical="top" wrapText="1"/>
    </xf>
    <xf numFmtId="0" fontId="0" fillId="2" borderId="52" xfId="0" applyFill="1" applyBorder="1" applyAlignment="1">
      <alignment horizontal="center"/>
    </xf>
    <xf numFmtId="0" fontId="0" fillId="6" borderId="23" xfId="0" applyFill="1" applyBorder="1" applyAlignment="1">
      <alignment horizontal="center"/>
    </xf>
    <xf numFmtId="0" fontId="2" fillId="2" borderId="23" xfId="0" applyFont="1" applyFill="1" applyBorder="1" applyAlignment="1">
      <alignment horizontal="center"/>
    </xf>
    <xf numFmtId="166" fontId="2" fillId="2" borderId="23" xfId="1" applyNumberFormat="1" applyFont="1" applyFill="1" applyBorder="1" applyAlignment="1">
      <alignment horizontal="right"/>
    </xf>
    <xf numFmtId="0" fontId="2" fillId="2" borderId="23" xfId="0" applyFont="1" applyFill="1" applyBorder="1" applyAlignment="1">
      <alignment horizontal="right"/>
    </xf>
    <xf numFmtId="0" fontId="2" fillId="2" borderId="21" xfId="0" applyFont="1" applyFill="1" applyBorder="1" applyAlignment="1">
      <alignment horizontal="right"/>
    </xf>
    <xf numFmtId="166" fontId="2" fillId="2" borderId="1" xfId="1" applyNumberFormat="1" applyFont="1" applyFill="1" applyBorder="1" applyAlignment="1">
      <alignment horizontal="right"/>
    </xf>
    <xf numFmtId="0" fontId="0" fillId="2" borderId="1" xfId="0" applyFont="1" applyFill="1" applyBorder="1" applyAlignment="1">
      <alignment horizontal="right"/>
    </xf>
    <xf numFmtId="0" fontId="0" fillId="2" borderId="8" xfId="0" applyFont="1" applyFill="1" applyBorder="1" applyAlignment="1">
      <alignment horizontal="left" vertical="top" indent="1"/>
    </xf>
    <xf numFmtId="0" fontId="0" fillId="2" borderId="53" xfId="0" applyFont="1" applyFill="1" applyBorder="1" applyAlignment="1">
      <alignment horizontal="left" vertical="top" indent="1"/>
    </xf>
    <xf numFmtId="0" fontId="0" fillId="2" borderId="13" xfId="0" applyFont="1" applyFill="1" applyBorder="1" applyAlignment="1">
      <alignment horizontal="left" vertical="top" indent="1"/>
    </xf>
    <xf numFmtId="0" fontId="0" fillId="2" borderId="14" xfId="0" applyFont="1" applyFill="1" applyBorder="1" applyAlignment="1">
      <alignment horizontal="left" vertical="top"/>
    </xf>
    <xf numFmtId="0" fontId="0" fillId="2" borderId="15" xfId="0" applyFont="1" applyFill="1" applyBorder="1" applyAlignment="1">
      <alignment horizontal="left" vertical="top"/>
    </xf>
    <xf numFmtId="0" fontId="12" fillId="2" borderId="20" xfId="0" applyFont="1" applyFill="1" applyBorder="1" applyAlignment="1">
      <alignment vertical="top"/>
    </xf>
    <xf numFmtId="0" fontId="0" fillId="2" borderId="1" xfId="0" applyFont="1" applyFill="1" applyBorder="1" applyAlignment="1">
      <alignment horizontal="left" vertical="top" indent="2"/>
    </xf>
    <xf numFmtId="0" fontId="12" fillId="2" borderId="22" xfId="0" applyFont="1" applyFill="1" applyBorder="1" applyAlignment="1">
      <alignment horizontal="left" vertical="top" indent="1"/>
    </xf>
    <xf numFmtId="0" fontId="0" fillId="2" borderId="21" xfId="0" applyFill="1" applyBorder="1" applyAlignment="1">
      <alignment horizontal="left" vertical="top" wrapText="1"/>
    </xf>
    <xf numFmtId="0" fontId="0" fillId="7" borderId="13" xfId="0" applyFont="1" applyFill="1" applyBorder="1" applyAlignment="1">
      <alignment horizontal="left" vertical="top" indent="1"/>
    </xf>
    <xf numFmtId="0" fontId="0" fillId="7" borderId="9" xfId="0" applyFont="1" applyFill="1" applyBorder="1" applyAlignment="1">
      <alignment horizontal="left" vertical="top" indent="1"/>
    </xf>
    <xf numFmtId="0" fontId="0" fillId="7" borderId="13" xfId="0" applyFill="1" applyBorder="1" applyAlignment="1">
      <alignment horizontal="left" vertical="top" indent="1"/>
    </xf>
    <xf numFmtId="0" fontId="0" fillId="7" borderId="8" xfId="0" applyFill="1" applyBorder="1" applyAlignment="1">
      <alignment horizontal="left" vertical="top" indent="1"/>
    </xf>
    <xf numFmtId="0" fontId="0" fillId="7" borderId="1" xfId="0" applyFont="1" applyFill="1" applyBorder="1" applyAlignment="1">
      <alignment horizontal="left" vertical="top" indent="2"/>
    </xf>
    <xf numFmtId="166" fontId="0" fillId="7" borderId="1" xfId="1" applyNumberFormat="1" applyFont="1" applyFill="1" applyBorder="1" applyAlignment="1">
      <alignment horizontal="center"/>
    </xf>
    <xf numFmtId="0" fontId="0" fillId="7" borderId="1" xfId="0" applyFill="1" applyBorder="1"/>
    <xf numFmtId="9" fontId="0" fillId="7" borderId="1" xfId="0" applyNumberFormat="1" applyFill="1" applyBorder="1" applyAlignment="1">
      <alignment horizontal="center" wrapText="1"/>
    </xf>
    <xf numFmtId="0" fontId="0" fillId="7" borderId="1" xfId="0" applyFill="1" applyBorder="1" applyAlignment="1">
      <alignment vertical="top" wrapText="1"/>
    </xf>
    <xf numFmtId="0" fontId="0" fillId="7" borderId="8" xfId="0" applyFill="1" applyBorder="1" applyAlignment="1">
      <alignment horizontal="left" indent="2"/>
    </xf>
    <xf numFmtId="165" fontId="0" fillId="7" borderId="1" xfId="0" applyNumberFormat="1" applyFill="1" applyBorder="1" applyAlignment="1">
      <alignment horizontal="center"/>
    </xf>
    <xf numFmtId="9" fontId="0" fillId="7" borderId="15" xfId="0" applyNumberFormat="1" applyFill="1" applyBorder="1" applyAlignment="1">
      <alignment horizontal="center" wrapText="1"/>
    </xf>
    <xf numFmtId="0" fontId="12" fillId="7" borderId="8" xfId="0" applyFont="1" applyFill="1" applyBorder="1" applyAlignment="1">
      <alignment horizontal="left" indent="2"/>
    </xf>
    <xf numFmtId="165" fontId="12" fillId="7" borderId="14" xfId="0" applyNumberFormat="1" applyFont="1" applyFill="1" applyBorder="1" applyAlignment="1">
      <alignment horizontal="center"/>
    </xf>
    <xf numFmtId="0" fontId="12" fillId="7" borderId="1" xfId="0" applyFont="1" applyFill="1" applyBorder="1"/>
    <xf numFmtId="9" fontId="12" fillId="7" borderId="15" xfId="0" applyNumberFormat="1" applyFont="1" applyFill="1" applyBorder="1" applyAlignment="1">
      <alignment horizontal="center" wrapText="1"/>
    </xf>
    <xf numFmtId="0" fontId="0" fillId="7" borderId="8" xfId="0" applyFont="1" applyFill="1" applyBorder="1" applyAlignment="1">
      <alignment horizontal="left" indent="2"/>
    </xf>
    <xf numFmtId="0" fontId="2" fillId="7" borderId="1" xfId="0" applyFont="1" applyFill="1" applyBorder="1"/>
    <xf numFmtId="0" fontId="0" fillId="7" borderId="13" xfId="0" applyFont="1" applyFill="1" applyBorder="1" applyAlignment="1">
      <alignment horizontal="left" indent="1"/>
    </xf>
    <xf numFmtId="0" fontId="0" fillId="7" borderId="8" xfId="0" applyFont="1" applyFill="1" applyBorder="1" applyAlignment="1">
      <alignment horizontal="left" indent="1"/>
    </xf>
    <xf numFmtId="0" fontId="0" fillId="7" borderId="22" xfId="0" applyFont="1" applyFill="1" applyBorder="1" applyAlignment="1">
      <alignment horizontal="left" indent="1"/>
    </xf>
    <xf numFmtId="0" fontId="0" fillId="7" borderId="1" xfId="0" applyFont="1" applyFill="1" applyBorder="1" applyAlignment="1">
      <alignment horizontal="left" indent="1"/>
    </xf>
    <xf numFmtId="0" fontId="0" fillId="7" borderId="8" xfId="0" applyFill="1" applyBorder="1" applyAlignment="1">
      <alignment horizontal="left" indent="1"/>
    </xf>
    <xf numFmtId="0" fontId="2" fillId="7" borderId="8" xfId="0" applyFont="1" applyFill="1" applyBorder="1" applyAlignment="1">
      <alignment horizontal="left" indent="1"/>
    </xf>
    <xf numFmtId="0" fontId="0" fillId="7" borderId="8" xfId="0" applyFont="1" applyFill="1" applyBorder="1"/>
    <xf numFmtId="0" fontId="2" fillId="4" borderId="14" xfId="0" applyFont="1" applyFill="1" applyBorder="1" applyAlignment="1" applyProtection="1">
      <alignment horizontal="center" vertical="top"/>
      <protection locked="0"/>
    </xf>
    <xf numFmtId="9" fontId="0" fillId="4" borderId="11" xfId="0" applyNumberForma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9" fontId="8" fillId="4" borderId="1" xfId="0" applyNumberFormat="1" applyFont="1" applyFill="1" applyBorder="1" applyAlignment="1" applyProtection="1">
      <alignment horizontal="center" vertical="top"/>
      <protection locked="0"/>
    </xf>
    <xf numFmtId="9" fontId="0" fillId="2" borderId="1" xfId="0" applyNumberFormat="1" applyFill="1" applyBorder="1" applyAlignment="1">
      <alignment horizontal="center" vertical="top"/>
    </xf>
    <xf numFmtId="0" fontId="0" fillId="8" borderId="14" xfId="0" applyFill="1" applyBorder="1" applyAlignment="1">
      <alignment horizontal="center"/>
    </xf>
    <xf numFmtId="0" fontId="0" fillId="8" borderId="51" xfId="0" applyFill="1" applyBorder="1" applyAlignment="1">
      <alignment horizontal="center"/>
    </xf>
    <xf numFmtId="0" fontId="2" fillId="8" borderId="51" xfId="0" applyFont="1" applyFill="1" applyBorder="1" applyAlignment="1">
      <alignment horizontal="center"/>
    </xf>
    <xf numFmtId="0" fontId="0" fillId="8" borderId="1" xfId="0" applyFill="1" applyBorder="1" applyAlignment="1">
      <alignment horizontal="center"/>
    </xf>
    <xf numFmtId="0" fontId="2" fillId="0" borderId="0" xfId="0" applyFont="1" applyAlignment="1">
      <alignment wrapText="1"/>
    </xf>
    <xf numFmtId="0" fontId="1" fillId="3" borderId="50" xfId="0" applyFont="1" applyFill="1" applyBorder="1" applyAlignment="1">
      <alignment horizontal="center"/>
    </xf>
    <xf numFmtId="166" fontId="2" fillId="2" borderId="20" xfId="1" applyNumberFormat="1" applyFont="1" applyFill="1" applyBorder="1" applyAlignment="1">
      <alignment horizontal="right"/>
    </xf>
    <xf numFmtId="0" fontId="2" fillId="2" borderId="38" xfId="0" applyFont="1" applyFill="1" applyBorder="1" applyAlignment="1">
      <alignment horizontal="left" indent="1"/>
    </xf>
    <xf numFmtId="0" fontId="0" fillId="2" borderId="39" xfId="0" applyFill="1" applyBorder="1" applyAlignment="1">
      <alignment horizontal="center"/>
    </xf>
    <xf numFmtId="0" fontId="0" fillId="6" borderId="45" xfId="0" applyFill="1" applyBorder="1" applyAlignment="1">
      <alignment horizontal="center"/>
    </xf>
    <xf numFmtId="0" fontId="0" fillId="2" borderId="45" xfId="0" applyFill="1" applyBorder="1" applyAlignment="1">
      <alignment horizontal="center"/>
    </xf>
    <xf numFmtId="0" fontId="1" fillId="3" borderId="46" xfId="0" applyFont="1" applyFill="1" applyBorder="1" applyAlignment="1">
      <alignment horizontal="center"/>
    </xf>
    <xf numFmtId="166" fontId="0" fillId="2" borderId="51" xfId="2" applyNumberFormat="1" applyFont="1" applyFill="1" applyBorder="1" applyAlignment="1">
      <alignment horizontal="right"/>
    </xf>
    <xf numFmtId="166" fontId="0" fillId="2" borderId="45" xfId="2" applyNumberFormat="1" applyFont="1" applyFill="1" applyBorder="1" applyAlignment="1">
      <alignment horizontal="right"/>
    </xf>
    <xf numFmtId="0" fontId="2" fillId="2" borderId="46" xfId="0" applyFont="1" applyFill="1" applyBorder="1" applyAlignment="1">
      <alignment horizontal="center"/>
    </xf>
    <xf numFmtId="0" fontId="2" fillId="2" borderId="27" xfId="0" applyFont="1" applyFill="1" applyBorder="1" applyAlignment="1">
      <alignment horizontal="left" vertical="top" indent="1"/>
    </xf>
    <xf numFmtId="0" fontId="2" fillId="4" borderId="27" xfId="0" applyFont="1" applyFill="1" applyBorder="1" applyAlignment="1" applyProtection="1">
      <alignment horizontal="center" vertical="top"/>
      <protection locked="0"/>
    </xf>
    <xf numFmtId="0" fontId="2" fillId="2" borderId="27" xfId="0" applyFont="1" applyFill="1" applyBorder="1" applyAlignment="1">
      <alignment vertical="top"/>
    </xf>
    <xf numFmtId="0" fontId="0" fillId="0" borderId="27" xfId="0" applyBorder="1" applyAlignment="1">
      <alignment wrapText="1"/>
    </xf>
    <xf numFmtId="0" fontId="12" fillId="2" borderId="27" xfId="0" applyFont="1" applyFill="1" applyBorder="1" applyAlignment="1">
      <alignment vertical="top"/>
    </xf>
    <xf numFmtId="0" fontId="2" fillId="0" borderId="27" xfId="0" applyFont="1" applyBorder="1" applyAlignment="1">
      <alignment wrapText="1"/>
    </xf>
    <xf numFmtId="0" fontId="2" fillId="2" borderId="27" xfId="0" applyFont="1" applyFill="1" applyBorder="1" applyAlignment="1">
      <alignment horizontal="left" indent="2"/>
    </xf>
    <xf numFmtId="0" fontId="2" fillId="3" borderId="27" xfId="0" applyFont="1" applyFill="1" applyBorder="1" applyAlignment="1">
      <alignment horizontal="right" indent="2"/>
    </xf>
    <xf numFmtId="0" fontId="0" fillId="3" borderId="27" xfId="0" applyFill="1" applyBorder="1"/>
    <xf numFmtId="0" fontId="4" fillId="3" borderId="27" xfId="0" applyFont="1" applyFill="1" applyBorder="1" applyAlignment="1">
      <alignment horizontal="right" indent="2"/>
    </xf>
    <xf numFmtId="165" fontId="4" fillId="3" borderId="27" xfId="0" applyNumberFormat="1" applyFont="1" applyFill="1" applyBorder="1" applyAlignment="1">
      <alignment horizontal="center"/>
    </xf>
    <xf numFmtId="165" fontId="0" fillId="3" borderId="27" xfId="0" applyNumberFormat="1" applyFill="1" applyBorder="1" applyAlignment="1">
      <alignment horizontal="center"/>
    </xf>
    <xf numFmtId="0" fontId="2" fillId="3" borderId="27" xfId="0" applyFont="1" applyFill="1" applyBorder="1"/>
    <xf numFmtId="0" fontId="11" fillId="5" borderId="42" xfId="0" applyFont="1" applyFill="1" applyBorder="1"/>
    <xf numFmtId="0" fontId="11" fillId="5" borderId="43" xfId="0" applyFont="1" applyFill="1" applyBorder="1"/>
    <xf numFmtId="0" fontId="2" fillId="2" borderId="55" xfId="0" applyFont="1" applyFill="1" applyBorder="1" applyAlignment="1">
      <alignment vertical="top"/>
    </xf>
    <xf numFmtId="0" fontId="2" fillId="4" borderId="34" xfId="0" applyFont="1" applyFill="1" applyBorder="1" applyAlignment="1" applyProtection="1">
      <alignment horizontal="center" vertical="top"/>
      <protection locked="0"/>
    </xf>
    <xf numFmtId="0" fontId="2" fillId="4" borderId="26" xfId="0" applyFont="1" applyFill="1" applyBorder="1" applyAlignment="1" applyProtection="1">
      <alignment horizontal="center" vertical="top"/>
      <protection locked="0"/>
    </xf>
    <xf numFmtId="0" fontId="0" fillId="6" borderId="14" xfId="0" applyFill="1" applyBorder="1" applyAlignment="1">
      <alignment horizontal="center" vertical="top"/>
    </xf>
    <xf numFmtId="0" fontId="8" fillId="2" borderId="16" xfId="0" applyFont="1" applyFill="1" applyBorder="1" applyAlignment="1">
      <alignment vertical="top" wrapText="1"/>
    </xf>
    <xf numFmtId="0" fontId="12" fillId="2" borderId="16" xfId="0" applyFont="1" applyFill="1" applyBorder="1" applyAlignment="1">
      <alignment vertical="top" wrapText="1"/>
    </xf>
    <xf numFmtId="0" fontId="2" fillId="4" borderId="27" xfId="0" applyFont="1" applyFill="1" applyBorder="1" applyAlignment="1"/>
    <xf numFmtId="0" fontId="1" fillId="3" borderId="4" xfId="0" applyFont="1" applyFill="1" applyBorder="1" applyAlignment="1">
      <alignment horizontal="right" indent="2"/>
    </xf>
    <xf numFmtId="0" fontId="2" fillId="2" borderId="14" xfId="0" applyFont="1" applyFill="1" applyBorder="1"/>
    <xf numFmtId="0" fontId="14" fillId="0" borderId="0" xfId="3" applyFont="1"/>
    <xf numFmtId="1" fontId="0" fillId="4" borderId="1" xfId="0" applyNumberFormat="1" applyFill="1" applyBorder="1" applyAlignment="1" applyProtection="1">
      <alignment horizontal="center" vertical="top"/>
      <protection locked="0"/>
    </xf>
    <xf numFmtId="0" fontId="6" fillId="0" borderId="0" xfId="0" applyFont="1" applyAlignment="1">
      <alignment horizontal="left" vertical="top" wrapText="1"/>
    </xf>
    <xf numFmtId="0" fontId="4" fillId="3" borderId="41" xfId="0" applyFont="1" applyFill="1" applyBorder="1" applyAlignment="1">
      <alignment horizontal="left" indent="2"/>
    </xf>
    <xf numFmtId="0" fontId="0" fillId="0" borderId="42" xfId="0" applyBorder="1" applyAlignment="1">
      <alignment horizontal="left" indent="2"/>
    </xf>
    <xf numFmtId="0" fontId="0" fillId="0" borderId="54" xfId="0" applyBorder="1" applyAlignment="1">
      <alignment horizontal="left" indent="2"/>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1" fillId="3" borderId="40" xfId="0" applyFont="1" applyFill="1" applyBorder="1" applyAlignment="1">
      <alignment horizontal="left" vertical="top" indent="1"/>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30"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0" fontId="4" fillId="3" borderId="43" xfId="0" applyFont="1" applyFill="1" applyBorder="1" applyAlignment="1">
      <alignment horizontal="left" vertical="top"/>
    </xf>
    <xf numFmtId="0" fontId="0" fillId="2" borderId="21" xfId="0" applyFill="1" applyBorder="1" applyAlignment="1">
      <alignment horizontal="left" vertical="top" wrapText="1"/>
    </xf>
    <xf numFmtId="9" fontId="0" fillId="2" borderId="37"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46"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9" fillId="3" borderId="40"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13" fillId="0" borderId="0" xfId="3" applyAlignment="1">
      <alignment horizontal="left" vertical="top" wrapText="1"/>
    </xf>
    <xf numFmtId="0" fontId="1" fillId="3" borderId="41" xfId="0" applyFont="1" applyFill="1" applyBorder="1" applyAlignment="1">
      <alignment horizontal="left" vertical="top" indent="1"/>
    </xf>
    <xf numFmtId="0" fontId="1" fillId="3" borderId="42" xfId="0" applyFont="1" applyFill="1" applyBorder="1" applyAlignment="1">
      <alignment horizontal="left" vertical="top" indent="1"/>
    </xf>
    <xf numFmtId="0" fontId="1" fillId="3" borderId="43" xfId="0" applyFont="1" applyFill="1" applyBorder="1" applyAlignment="1">
      <alignment horizontal="left" vertical="top" indent="1"/>
    </xf>
    <xf numFmtId="0" fontId="6" fillId="0" borderId="20" xfId="0" applyFont="1" applyBorder="1" applyAlignment="1">
      <alignment horizontal="left" vertical="top" wrapText="1"/>
    </xf>
    <xf numFmtId="0" fontId="6" fillId="0" borderId="39" xfId="0" applyFont="1" applyBorder="1" applyAlignment="1">
      <alignment horizontal="left" vertical="top" wrapText="1"/>
    </xf>
    <xf numFmtId="0" fontId="0" fillId="0" borderId="39" xfId="0" applyBorder="1" applyAlignment="1">
      <alignment horizontal="left" vertical="top" wrapText="1"/>
    </xf>
    <xf numFmtId="0" fontId="0" fillId="0" borderId="53" xfId="0" applyBorder="1" applyAlignment="1">
      <alignment horizontal="left" vertical="top" wrapText="1"/>
    </xf>
    <xf numFmtId="0" fontId="2" fillId="0" borderId="20" xfId="0" applyFont="1" applyBorder="1" applyAlignment="1">
      <alignment wrapText="1"/>
    </xf>
    <xf numFmtId="0" fontId="0" fillId="0" borderId="39" xfId="0" applyBorder="1" applyAlignment="1">
      <alignment wrapText="1"/>
    </xf>
    <xf numFmtId="0" fontId="0" fillId="0" borderId="53" xfId="0" applyBorder="1" applyAlignment="1">
      <alignment wrapText="1"/>
    </xf>
    <xf numFmtId="0" fontId="11" fillId="5" borderId="0" xfId="0" applyFont="1" applyFill="1" applyAlignment="1"/>
    <xf numFmtId="0" fontId="0" fillId="0" borderId="0" xfId="0" applyAlignment="1"/>
    <xf numFmtId="0" fontId="1" fillId="3" borderId="49" xfId="0" applyFont="1" applyFill="1" applyBorder="1" applyAlignment="1">
      <alignment horizontal="center"/>
    </xf>
    <xf numFmtId="0" fontId="1" fillId="3" borderId="24" xfId="0" applyFont="1" applyFill="1" applyBorder="1" applyAlignment="1">
      <alignment horizontal="center"/>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49" xfId="0" applyFont="1" applyFill="1" applyBorder="1" applyAlignment="1">
      <alignment horizontal="left"/>
    </xf>
    <xf numFmtId="0" fontId="1" fillId="3" borderId="24" xfId="0" applyFont="1" applyFill="1" applyBorder="1" applyAlignment="1">
      <alignment horizontal="left"/>
    </xf>
  </cellXfs>
  <cellStyles count="4">
    <cellStyle name="Comma" xfId="1" builtinId="3"/>
    <cellStyle name="Comma 2" xfId="2" xr:uid="{00000000-0005-0000-0000-000001000000}"/>
    <cellStyle name="Hyperlink" xfId="3" builtinId="8"/>
    <cellStyle name="Normal" xfId="0" builtinId="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sco.com/c/en/us/td/docs/voice_ip_comm/cust_contact/contact_center/icm_enterprise/icm_enterprise_12_0_1/Design/Guide/ucce_b_soldg-for-unified-cce-120/ucce_b_soldg-for-unified-cce-120_chapter_01100.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workbookViewId="0">
      <selection activeCell="A16" sqref="A16:B16"/>
    </sheetView>
  </sheetViews>
  <sheetFormatPr defaultColWidth="8.81640625" defaultRowHeight="12.5" x14ac:dyDescent="0.25"/>
  <cols>
    <col min="1" max="1" width="109.7265625" customWidth="1"/>
  </cols>
  <sheetData>
    <row r="1" spans="1:2" ht="15.5" x14ac:dyDescent="0.25">
      <c r="A1" s="53" t="s">
        <v>73</v>
      </c>
    </row>
    <row r="2" spans="1:2" ht="13.5" thickBot="1" x14ac:dyDescent="0.3">
      <c r="A2" s="54" t="s">
        <v>244</v>
      </c>
    </row>
    <row r="3" spans="1:2" ht="13.5" thickBot="1" x14ac:dyDescent="0.3">
      <c r="A3" s="46"/>
    </row>
    <row r="4" spans="1:2" ht="13" x14ac:dyDescent="0.25">
      <c r="A4" s="55" t="s">
        <v>65</v>
      </c>
    </row>
    <row r="5" spans="1:2" x14ac:dyDescent="0.25">
      <c r="A5" s="80" t="s">
        <v>120</v>
      </c>
    </row>
    <row r="6" spans="1:2" ht="25.5" customHeight="1" x14ac:dyDescent="0.25">
      <c r="A6" s="80" t="s">
        <v>121</v>
      </c>
    </row>
    <row r="7" spans="1:2" ht="38.25" customHeight="1" x14ac:dyDescent="0.25">
      <c r="A7" s="80" t="s">
        <v>122</v>
      </c>
    </row>
    <row r="8" spans="1:2" ht="13" thickBot="1" x14ac:dyDescent="0.3">
      <c r="A8" s="48"/>
    </row>
    <row r="9" spans="1:2" ht="13" x14ac:dyDescent="0.25">
      <c r="A9" s="76" t="s">
        <v>64</v>
      </c>
    </row>
    <row r="10" spans="1:2" ht="37.5" x14ac:dyDescent="0.25">
      <c r="A10" s="77" t="s">
        <v>123</v>
      </c>
    </row>
    <row r="11" spans="1:2" ht="23.25" customHeight="1" x14ac:dyDescent="0.25">
      <c r="A11" s="77" t="s">
        <v>124</v>
      </c>
    </row>
    <row r="12" spans="1:2" ht="25" x14ac:dyDescent="0.25">
      <c r="A12" s="77" t="s">
        <v>152</v>
      </c>
    </row>
    <row r="13" spans="1:2" ht="25" x14ac:dyDescent="0.25">
      <c r="A13" s="77" t="s">
        <v>153</v>
      </c>
    </row>
    <row r="14" spans="1:2" ht="25.5" thickBot="1" x14ac:dyDescent="0.3">
      <c r="A14" s="78" t="s">
        <v>125</v>
      </c>
    </row>
    <row r="15" spans="1:2" x14ac:dyDescent="0.25">
      <c r="A15" s="47"/>
    </row>
    <row r="16" spans="1:2" ht="68.25" customHeight="1" x14ac:dyDescent="0.25">
      <c r="A16" s="266" t="s">
        <v>129</v>
      </c>
      <c r="B16" s="266"/>
    </row>
    <row r="17" spans="1:1" x14ac:dyDescent="0.25">
      <c r="A17" s="47"/>
    </row>
  </sheetData>
  <mergeCells count="1">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4"/>
  <sheetViews>
    <sheetView tabSelected="1" zoomScaleNormal="100" zoomScalePageLayoutView="130" workbookViewId="0">
      <selection activeCell="A2" sqref="A2"/>
    </sheetView>
  </sheetViews>
  <sheetFormatPr defaultColWidth="8.81640625" defaultRowHeight="12.5" x14ac:dyDescent="0.25"/>
  <cols>
    <col min="1" max="1" width="64.453125" customWidth="1"/>
    <col min="2" max="2" width="15.54296875" style="3" customWidth="1"/>
    <col min="3" max="3" width="15.54296875" customWidth="1"/>
    <col min="4" max="4" width="60.54296875" style="7" customWidth="1"/>
  </cols>
  <sheetData>
    <row r="1" spans="1:4" ht="16" customHeight="1" x14ac:dyDescent="0.35">
      <c r="A1" s="58" t="s">
        <v>73</v>
      </c>
      <c r="B1" s="59"/>
      <c r="C1" s="60"/>
      <c r="D1" s="61"/>
    </row>
    <row r="2" spans="1:4" ht="16" customHeight="1" thickBot="1" x14ac:dyDescent="0.4">
      <c r="A2" s="62" t="s">
        <v>243</v>
      </c>
      <c r="B2" s="63"/>
      <c r="C2" s="64"/>
      <c r="D2" s="65"/>
    </row>
    <row r="3" spans="1:4" ht="12.75" customHeight="1" thickBot="1" x14ac:dyDescent="0.3"/>
    <row r="4" spans="1:4" ht="12.75" customHeight="1" thickBot="1" x14ac:dyDescent="0.35">
      <c r="A4" s="261" t="s">
        <v>250</v>
      </c>
      <c r="B4" s="56"/>
      <c r="C4" s="56"/>
    </row>
    <row r="5" spans="1:4" ht="12.75" hidden="1" customHeight="1" x14ac:dyDescent="0.25"/>
    <row r="6" spans="1:4" ht="13" thickBot="1" x14ac:dyDescent="0.3"/>
    <row r="7" spans="1:4" ht="16" customHeight="1" thickBot="1" x14ac:dyDescent="0.3">
      <c r="A7" s="12" t="s">
        <v>46</v>
      </c>
      <c r="B7" s="13" t="s">
        <v>10</v>
      </c>
      <c r="C7" s="13" t="s">
        <v>11</v>
      </c>
      <c r="D7" s="14" t="s">
        <v>9</v>
      </c>
    </row>
    <row r="8" spans="1:4" ht="16" customHeight="1" thickBot="1" x14ac:dyDescent="0.3">
      <c r="A8" s="273" t="s">
        <v>1</v>
      </c>
      <c r="B8" s="274"/>
      <c r="C8" s="274"/>
      <c r="D8" s="275"/>
    </row>
    <row r="9" spans="1:4" ht="12.75" customHeight="1" x14ac:dyDescent="0.25">
      <c r="A9" s="187" t="s">
        <v>195</v>
      </c>
      <c r="B9" s="66">
        <v>1800</v>
      </c>
      <c r="C9" s="27" t="s">
        <v>23</v>
      </c>
      <c r="D9" s="100" t="s">
        <v>70</v>
      </c>
    </row>
    <row r="10" spans="1:4" ht="12.75" customHeight="1" x14ac:dyDescent="0.25">
      <c r="A10" s="16" t="s">
        <v>30</v>
      </c>
      <c r="B10" s="67">
        <v>200</v>
      </c>
      <c r="C10" s="9" t="s">
        <v>31</v>
      </c>
      <c r="D10" s="100" t="s">
        <v>34</v>
      </c>
    </row>
    <row r="11" spans="1:4" ht="12.75" hidden="1" customHeight="1" thickBot="1" x14ac:dyDescent="0.3">
      <c r="A11" s="105" t="s">
        <v>71</v>
      </c>
      <c r="B11" s="106"/>
      <c r="C11" s="107" t="s">
        <v>32</v>
      </c>
      <c r="D11" s="259" t="s">
        <v>33</v>
      </c>
    </row>
    <row r="12" spans="1:4" ht="12.75" customHeight="1" x14ac:dyDescent="0.25">
      <c r="A12" s="192" t="s">
        <v>196</v>
      </c>
      <c r="B12" s="106"/>
      <c r="C12" s="27" t="s">
        <v>23</v>
      </c>
      <c r="D12" s="259"/>
    </row>
    <row r="13" spans="1:4" ht="12.75" customHeight="1" x14ac:dyDescent="0.25">
      <c r="A13" s="192" t="s">
        <v>248</v>
      </c>
      <c r="B13" s="67">
        <f>B9-B12</f>
        <v>1800</v>
      </c>
      <c r="C13" s="27" t="s">
        <v>199</v>
      </c>
      <c r="D13" s="259"/>
    </row>
    <row r="14" spans="1:4" ht="12.75" customHeight="1" x14ac:dyDescent="0.25">
      <c r="A14" s="192" t="s">
        <v>197</v>
      </c>
      <c r="B14" s="106"/>
      <c r="C14" s="9" t="s">
        <v>31</v>
      </c>
      <c r="D14" s="259"/>
    </row>
    <row r="15" spans="1:4" ht="12.75" customHeight="1" x14ac:dyDescent="0.25">
      <c r="A15" s="192" t="s">
        <v>198</v>
      </c>
      <c r="B15" s="258">
        <f>B10-B14</f>
        <v>200</v>
      </c>
      <c r="C15" s="9" t="s">
        <v>31</v>
      </c>
      <c r="D15" s="259"/>
    </row>
    <row r="16" spans="1:4" ht="12.75" customHeight="1" x14ac:dyDescent="0.25">
      <c r="A16" s="185" t="s">
        <v>171</v>
      </c>
      <c r="B16" s="106"/>
      <c r="C16" s="9" t="s">
        <v>23</v>
      </c>
      <c r="D16" s="260"/>
    </row>
    <row r="17" spans="1:8" ht="12.75" customHeight="1" x14ac:dyDescent="0.25">
      <c r="A17" s="186" t="s">
        <v>172</v>
      </c>
      <c r="B17" s="106"/>
      <c r="C17" s="9" t="s">
        <v>173</v>
      </c>
      <c r="D17" s="126"/>
    </row>
    <row r="18" spans="1:8" ht="73.5" customHeight="1" x14ac:dyDescent="0.25">
      <c r="A18" s="108" t="s">
        <v>119</v>
      </c>
      <c r="B18" s="109">
        <v>5</v>
      </c>
      <c r="C18" s="110" t="s">
        <v>118</v>
      </c>
      <c r="D18" s="126" t="s">
        <v>127</v>
      </c>
    </row>
    <row r="19" spans="1:8" ht="16" customHeight="1" thickBot="1" x14ac:dyDescent="0.3">
      <c r="A19" s="276" t="s">
        <v>20</v>
      </c>
      <c r="B19" s="277"/>
      <c r="C19" s="277"/>
      <c r="D19" s="278"/>
    </row>
    <row r="20" spans="1:8" ht="12.75" customHeight="1" x14ac:dyDescent="0.25">
      <c r="A20" s="28" t="s">
        <v>53</v>
      </c>
      <c r="B20" s="219">
        <v>60000</v>
      </c>
      <c r="C20" s="37" t="s">
        <v>54</v>
      </c>
      <c r="D20" s="38" t="s">
        <v>67</v>
      </c>
    </row>
    <row r="21" spans="1:8" ht="12.75" customHeight="1" x14ac:dyDescent="0.25">
      <c r="A21" s="28" t="s">
        <v>55</v>
      </c>
      <c r="B21" s="68">
        <v>30</v>
      </c>
      <c r="C21" s="37" t="s">
        <v>24</v>
      </c>
      <c r="D21" s="38"/>
    </row>
    <row r="22" spans="1:8" ht="12.75" customHeight="1" x14ac:dyDescent="0.25">
      <c r="A22" s="28" t="s">
        <v>43</v>
      </c>
      <c r="B22" s="36">
        <f>IF(B20&gt;0,(3600*B9)/B20,0)</f>
        <v>108</v>
      </c>
      <c r="C22" s="27" t="s">
        <v>24</v>
      </c>
      <c r="D22" s="29"/>
    </row>
    <row r="23" spans="1:8" ht="12.75" customHeight="1" thickBot="1" x14ac:dyDescent="0.3">
      <c r="A23" s="17" t="s">
        <v>56</v>
      </c>
      <c r="B23" s="45">
        <f>IF((B21+B22)&gt;0,B9/(B21+B22),0)</f>
        <v>13.043478260869565</v>
      </c>
      <c r="C23" s="10" t="s">
        <v>44</v>
      </c>
      <c r="D23" s="34" t="s">
        <v>51</v>
      </c>
    </row>
    <row r="24" spans="1:8" ht="16" customHeight="1" thickBot="1" x14ac:dyDescent="0.3">
      <c r="A24" s="276" t="s">
        <v>174</v>
      </c>
      <c r="B24" s="277"/>
      <c r="C24" s="277"/>
      <c r="D24" s="278"/>
    </row>
    <row r="25" spans="1:8" ht="12.75" customHeight="1" x14ac:dyDescent="0.25">
      <c r="A25" s="194" t="s">
        <v>175</v>
      </c>
      <c r="B25" s="68"/>
      <c r="C25" s="188" t="s">
        <v>176</v>
      </c>
      <c r="D25" s="189" t="s">
        <v>177</v>
      </c>
    </row>
    <row r="26" spans="1:8" ht="12.75" customHeight="1" x14ac:dyDescent="0.25">
      <c r="A26" s="194" t="s">
        <v>178</v>
      </c>
      <c r="B26" s="68"/>
      <c r="C26" s="37" t="s">
        <v>24</v>
      </c>
      <c r="D26" s="38"/>
    </row>
    <row r="27" spans="1:8" ht="12.75" customHeight="1" x14ac:dyDescent="0.25">
      <c r="A27" s="194" t="s">
        <v>179</v>
      </c>
      <c r="B27" s="36">
        <v>1800</v>
      </c>
      <c r="C27" s="27" t="s">
        <v>24</v>
      </c>
      <c r="D27" s="29"/>
    </row>
    <row r="28" spans="1:8" ht="12.75" customHeight="1" thickBot="1" x14ac:dyDescent="0.3">
      <c r="A28" s="195" t="s">
        <v>180</v>
      </c>
      <c r="B28" s="45">
        <f>IF((B26+B27)&gt;0,B18/(B26+B27),0)</f>
        <v>2.7777777777777779E-3</v>
      </c>
      <c r="C28" s="10" t="s">
        <v>44</v>
      </c>
      <c r="D28" s="34" t="s">
        <v>181</v>
      </c>
    </row>
    <row r="29" spans="1:8" ht="16" customHeight="1" thickBot="1" x14ac:dyDescent="0.3">
      <c r="A29" s="273" t="s">
        <v>39</v>
      </c>
      <c r="B29" s="274"/>
      <c r="C29" s="274"/>
      <c r="D29" s="279"/>
      <c r="G29" s="74"/>
      <c r="H29" s="74"/>
    </row>
    <row r="30" spans="1:8" ht="12.75" customHeight="1" x14ac:dyDescent="0.25">
      <c r="A30" s="26" t="s">
        <v>2</v>
      </c>
      <c r="B30" s="221">
        <v>0.3</v>
      </c>
      <c r="C30" s="27" t="s">
        <v>35</v>
      </c>
      <c r="D30" s="280" t="s">
        <v>36</v>
      </c>
      <c r="G30" s="74"/>
      <c r="H30" s="74"/>
    </row>
    <row r="31" spans="1:8" ht="12.75" customHeight="1" x14ac:dyDescent="0.25">
      <c r="A31" s="19" t="s">
        <v>3</v>
      </c>
      <c r="B31" s="222">
        <v>0.3</v>
      </c>
      <c r="C31" s="9" t="s">
        <v>35</v>
      </c>
      <c r="D31" s="280"/>
      <c r="G31" s="74"/>
      <c r="H31" s="74"/>
    </row>
    <row r="32" spans="1:8" ht="12.75" hidden="1" customHeight="1" x14ac:dyDescent="0.25">
      <c r="A32" s="81" t="s">
        <v>72</v>
      </c>
      <c r="B32" s="223">
        <v>0</v>
      </c>
      <c r="C32" s="82" t="s">
        <v>35</v>
      </c>
      <c r="D32" s="281" t="s">
        <v>37</v>
      </c>
      <c r="G32" s="74"/>
      <c r="H32" s="74"/>
    </row>
    <row r="33" spans="1:8" ht="12.75" customHeight="1" x14ac:dyDescent="0.25">
      <c r="A33" s="19" t="s">
        <v>4</v>
      </c>
      <c r="B33" s="222">
        <v>0.1</v>
      </c>
      <c r="C33" s="35" t="s">
        <v>35</v>
      </c>
      <c r="D33" s="282"/>
      <c r="G33" s="74"/>
      <c r="H33" s="74"/>
    </row>
    <row r="34" spans="1:8" ht="12.75" customHeight="1" x14ac:dyDescent="0.25">
      <c r="A34" s="16" t="s">
        <v>146</v>
      </c>
      <c r="B34" s="222">
        <v>0.2</v>
      </c>
      <c r="C34" s="35" t="s">
        <v>35</v>
      </c>
      <c r="D34" s="128"/>
      <c r="G34" s="74"/>
      <c r="H34" s="74"/>
    </row>
    <row r="35" spans="1:8" ht="12.75" customHeight="1" x14ac:dyDescent="0.25">
      <c r="A35" s="19" t="s">
        <v>5</v>
      </c>
      <c r="B35" s="222">
        <v>0.1</v>
      </c>
      <c r="C35" s="9" t="s">
        <v>35</v>
      </c>
      <c r="D35" s="29" t="s">
        <v>38</v>
      </c>
      <c r="G35" s="74"/>
      <c r="H35" s="74"/>
    </row>
    <row r="36" spans="1:8" ht="12.75" customHeight="1" x14ac:dyDescent="0.25">
      <c r="A36" s="101" t="s">
        <v>6</v>
      </c>
      <c r="B36" s="224">
        <v>0.99999999999999989</v>
      </c>
      <c r="C36" s="9" t="s">
        <v>35</v>
      </c>
      <c r="D36" s="100" t="s">
        <v>40</v>
      </c>
      <c r="G36" s="74"/>
      <c r="H36" s="74"/>
    </row>
    <row r="37" spans="1:8" ht="12.75" customHeight="1" x14ac:dyDescent="0.25">
      <c r="A37" s="28" t="s">
        <v>111</v>
      </c>
      <c r="B37" s="221">
        <v>0.1</v>
      </c>
      <c r="C37" s="27" t="s">
        <v>35</v>
      </c>
      <c r="D37" s="29"/>
      <c r="G37" s="74"/>
      <c r="H37" s="74"/>
    </row>
    <row r="38" spans="1:8" ht="12.75" customHeight="1" x14ac:dyDescent="0.25">
      <c r="A38" s="28" t="s">
        <v>144</v>
      </c>
      <c r="B38" s="221">
        <v>0.05</v>
      </c>
      <c r="C38" s="27" t="s">
        <v>35</v>
      </c>
      <c r="D38" s="139" t="s">
        <v>148</v>
      </c>
      <c r="G38" s="74"/>
      <c r="H38" s="74"/>
    </row>
    <row r="39" spans="1:8" ht="12.75" customHeight="1" thickBot="1" x14ac:dyDescent="0.3">
      <c r="A39" s="28" t="s">
        <v>145</v>
      </c>
      <c r="B39" s="221">
        <v>0.05</v>
      </c>
      <c r="C39" s="27" t="s">
        <v>35</v>
      </c>
      <c r="D39" s="139" t="s">
        <v>149</v>
      </c>
      <c r="G39" s="74"/>
      <c r="H39" s="74"/>
    </row>
    <row r="40" spans="1:8" ht="17.149999999999999" customHeight="1" thickBot="1" x14ac:dyDescent="0.3">
      <c r="A40" s="273" t="s">
        <v>182</v>
      </c>
      <c r="B40" s="274"/>
      <c r="C40" s="274"/>
      <c r="D40" s="279"/>
      <c r="G40" s="74"/>
      <c r="H40" s="74"/>
    </row>
    <row r="41" spans="1:8" ht="12.75" customHeight="1" x14ac:dyDescent="0.25">
      <c r="A41" s="196" t="s">
        <v>183</v>
      </c>
      <c r="B41" s="69">
        <v>0.2</v>
      </c>
      <c r="C41" s="27" t="s">
        <v>35</v>
      </c>
      <c r="D41" s="280" t="s">
        <v>185</v>
      </c>
      <c r="G41" s="74"/>
      <c r="H41" s="74"/>
    </row>
    <row r="42" spans="1:8" ht="12.75" customHeight="1" x14ac:dyDescent="0.25">
      <c r="A42" s="197" t="s">
        <v>184</v>
      </c>
      <c r="B42" s="70">
        <v>0.28999999999999998</v>
      </c>
      <c r="C42" s="9" t="s">
        <v>35</v>
      </c>
      <c r="D42" s="280"/>
      <c r="G42" s="74"/>
      <c r="H42" s="74"/>
    </row>
    <row r="43" spans="1:8" ht="12.75" customHeight="1" x14ac:dyDescent="0.25">
      <c r="A43" s="197" t="s">
        <v>204</v>
      </c>
      <c r="B43" s="70">
        <v>0.2</v>
      </c>
      <c r="C43" s="35"/>
      <c r="D43" s="193"/>
      <c r="G43" s="74"/>
      <c r="H43" s="74"/>
    </row>
    <row r="44" spans="1:8" ht="12.75" customHeight="1" x14ac:dyDescent="0.25">
      <c r="A44" s="197" t="s">
        <v>255</v>
      </c>
      <c r="B44" s="222">
        <v>0.31</v>
      </c>
      <c r="C44" s="190" t="s">
        <v>35</v>
      </c>
      <c r="D44" s="176"/>
      <c r="G44" s="74"/>
      <c r="H44" s="74"/>
    </row>
    <row r="45" spans="1:8" ht="12.75" customHeight="1" thickBot="1" x14ac:dyDescent="0.3">
      <c r="A45" s="101" t="s">
        <v>6</v>
      </c>
      <c r="B45" s="99">
        <f>SUM(B41:B44)</f>
        <v>1</v>
      </c>
      <c r="C45" s="9" t="s">
        <v>35</v>
      </c>
      <c r="D45" s="100" t="s">
        <v>186</v>
      </c>
      <c r="G45" s="74"/>
      <c r="H45" s="74"/>
    </row>
    <row r="46" spans="1:8" ht="16" customHeight="1" thickBot="1" x14ac:dyDescent="0.3">
      <c r="A46" s="273" t="s">
        <v>74</v>
      </c>
      <c r="B46" s="274"/>
      <c r="C46" s="274"/>
      <c r="D46" s="279"/>
      <c r="G46" s="74"/>
      <c r="H46" s="74"/>
    </row>
    <row r="47" spans="1:8" ht="12.75" hidden="1" customHeight="1" x14ac:dyDescent="0.25">
      <c r="A47" s="93" t="s">
        <v>84</v>
      </c>
      <c r="B47" s="94">
        <v>5</v>
      </c>
      <c r="C47" s="95" t="s">
        <v>8</v>
      </c>
      <c r="D47" s="96" t="s">
        <v>49</v>
      </c>
      <c r="G47" s="74"/>
      <c r="H47" s="74"/>
    </row>
    <row r="48" spans="1:8" ht="12.75" customHeight="1" thickBot="1" x14ac:dyDescent="0.3">
      <c r="A48" s="24" t="s">
        <v>68</v>
      </c>
      <c r="B48" s="220">
        <v>1</v>
      </c>
      <c r="C48" s="25" t="s">
        <v>8</v>
      </c>
      <c r="D48" s="97" t="s">
        <v>116</v>
      </c>
      <c r="G48" s="74"/>
      <c r="H48" s="74"/>
    </row>
    <row r="49" spans="1:8" ht="12.75" hidden="1" customHeight="1" x14ac:dyDescent="0.25">
      <c r="A49" s="283" t="s">
        <v>79</v>
      </c>
      <c r="B49" s="284"/>
      <c r="C49" s="284"/>
      <c r="D49" s="285"/>
      <c r="G49" s="74"/>
      <c r="H49" s="74"/>
    </row>
    <row r="50" spans="1:8" ht="12.75" hidden="1" customHeight="1" x14ac:dyDescent="0.25">
      <c r="A50" s="83" t="s">
        <v>75</v>
      </c>
      <c r="B50" s="84">
        <v>17</v>
      </c>
      <c r="C50" s="85" t="s">
        <v>25</v>
      </c>
      <c r="D50" s="86" t="s">
        <v>66</v>
      </c>
      <c r="G50" s="74"/>
      <c r="H50" s="74"/>
    </row>
    <row r="51" spans="1:8" ht="12.75" hidden="1" customHeight="1" x14ac:dyDescent="0.25">
      <c r="A51" s="83" t="s">
        <v>76</v>
      </c>
      <c r="B51" s="84">
        <v>10</v>
      </c>
      <c r="C51" s="85" t="s">
        <v>24</v>
      </c>
      <c r="D51" s="87" t="s">
        <v>41</v>
      </c>
      <c r="G51" s="74"/>
      <c r="H51" s="74"/>
    </row>
    <row r="52" spans="1:8" ht="12.75" hidden="1" customHeight="1" x14ac:dyDescent="0.25">
      <c r="A52" s="286" t="s">
        <v>80</v>
      </c>
      <c r="B52" s="287"/>
      <c r="C52" s="287"/>
      <c r="D52" s="288"/>
      <c r="G52" s="74"/>
      <c r="H52" s="74"/>
    </row>
    <row r="53" spans="1:8" ht="12.75" hidden="1" customHeight="1" x14ac:dyDescent="0.25">
      <c r="A53" s="83" t="s">
        <v>77</v>
      </c>
      <c r="B53" s="84">
        <v>6</v>
      </c>
      <c r="C53" s="85" t="s">
        <v>25</v>
      </c>
      <c r="D53" s="86" t="s">
        <v>29</v>
      </c>
      <c r="G53" s="74"/>
      <c r="H53" s="74"/>
    </row>
    <row r="54" spans="1:8" ht="12.75" hidden="1" customHeight="1" x14ac:dyDescent="0.25">
      <c r="A54" s="83" t="s">
        <v>78</v>
      </c>
      <c r="B54" s="84" t="e">
        <f>Average_Call_Duration_v801</f>
        <v>#NAME?</v>
      </c>
      <c r="C54" s="85" t="s">
        <v>24</v>
      </c>
      <c r="D54" s="86" t="s">
        <v>45</v>
      </c>
      <c r="G54" s="74"/>
      <c r="H54" s="74"/>
    </row>
    <row r="55" spans="1:8" ht="12.75" customHeight="1" thickBot="1" x14ac:dyDescent="0.3">
      <c r="A55" s="24" t="s">
        <v>150</v>
      </c>
      <c r="B55" s="71">
        <v>3000</v>
      </c>
      <c r="C55" s="25" t="s">
        <v>8</v>
      </c>
      <c r="D55" s="97"/>
      <c r="G55" s="74"/>
      <c r="H55" s="74"/>
    </row>
    <row r="56" spans="1:8" ht="12.75" customHeight="1" x14ac:dyDescent="0.25">
      <c r="A56" s="270" t="s">
        <v>21</v>
      </c>
      <c r="B56" s="271"/>
      <c r="C56" s="271"/>
      <c r="D56" s="272"/>
      <c r="G56" s="74"/>
      <c r="H56" s="74"/>
    </row>
    <row r="57" spans="1:8" ht="12.75" customHeight="1" x14ac:dyDescent="0.25">
      <c r="A57" s="22" t="s">
        <v>19</v>
      </c>
      <c r="B57" s="67">
        <v>1</v>
      </c>
      <c r="C57" s="20" t="s">
        <v>12</v>
      </c>
      <c r="D57" s="15" t="s">
        <v>47</v>
      </c>
      <c r="G57" s="74"/>
      <c r="H57" s="74"/>
    </row>
    <row r="58" spans="1:8" ht="12.75" customHeight="1" x14ac:dyDescent="0.25">
      <c r="A58" s="22" t="s">
        <v>48</v>
      </c>
      <c r="B58" s="67">
        <v>640</v>
      </c>
      <c r="C58" s="20" t="s">
        <v>13</v>
      </c>
      <c r="D58" s="15" t="s">
        <v>50</v>
      </c>
      <c r="G58" s="74"/>
      <c r="H58" s="74"/>
    </row>
    <row r="59" spans="1:8" ht="12.75" customHeight="1" x14ac:dyDescent="0.25">
      <c r="A59" s="22" t="s">
        <v>57</v>
      </c>
      <c r="B59" s="67">
        <v>1970</v>
      </c>
      <c r="C59" s="20" t="s">
        <v>13</v>
      </c>
      <c r="D59" s="15" t="s">
        <v>52</v>
      </c>
      <c r="G59" s="74"/>
      <c r="H59" s="74"/>
    </row>
    <row r="60" spans="1:8" ht="12.75" customHeight="1" x14ac:dyDescent="0.25">
      <c r="A60" s="270" t="s">
        <v>22</v>
      </c>
      <c r="B60" s="271"/>
      <c r="C60" s="271"/>
      <c r="D60" s="272"/>
      <c r="G60" s="74"/>
      <c r="H60" s="74"/>
    </row>
    <row r="61" spans="1:8" ht="12.75" customHeight="1" thickBot="1" x14ac:dyDescent="0.3">
      <c r="A61" s="137" t="s">
        <v>143</v>
      </c>
      <c r="B61" s="57">
        <v>2</v>
      </c>
      <c r="C61" s="20" t="s">
        <v>12</v>
      </c>
      <c r="D61" s="138" t="s">
        <v>142</v>
      </c>
      <c r="G61" s="74"/>
      <c r="H61" s="74"/>
    </row>
    <row r="62" spans="1:8" ht="12.75" customHeight="1" thickBot="1" x14ac:dyDescent="0.3">
      <c r="A62" s="23" t="s">
        <v>58</v>
      </c>
      <c r="B62" s="57">
        <v>100</v>
      </c>
      <c r="C62" s="21" t="s">
        <v>13</v>
      </c>
      <c r="D62" s="11" t="s">
        <v>69</v>
      </c>
      <c r="G62" s="74"/>
      <c r="H62" s="74"/>
    </row>
    <row r="63" spans="1:8" ht="27.75" customHeight="1" x14ac:dyDescent="0.25">
      <c r="A63" s="91" t="s">
        <v>265</v>
      </c>
      <c r="B63" s="265">
        <v>30</v>
      </c>
      <c r="C63" s="20" t="s">
        <v>23</v>
      </c>
      <c r="D63" s="92" t="s">
        <v>266</v>
      </c>
    </row>
    <row r="64" spans="1:8" ht="30" customHeight="1" x14ac:dyDescent="0.25">
      <c r="A64" s="91" t="s">
        <v>262</v>
      </c>
      <c r="B64" s="265">
        <v>2</v>
      </c>
      <c r="C64" s="20" t="s">
        <v>263</v>
      </c>
      <c r="D64" s="92" t="s">
        <v>264</v>
      </c>
    </row>
    <row r="65" spans="1:8" ht="26.25" customHeight="1" x14ac:dyDescent="0.4">
      <c r="A65" s="102" t="s">
        <v>202</v>
      </c>
      <c r="B65" s="103"/>
      <c r="C65" s="102"/>
      <c r="D65" s="104"/>
      <c r="E65" s="74"/>
    </row>
    <row r="66" spans="1:8" ht="12.75" customHeight="1" x14ac:dyDescent="0.25">
      <c r="A66" s="191" t="s">
        <v>187</v>
      </c>
      <c r="B66" s="111">
        <f>(((Number_of_nonSSO_agents*'BW Data'!E5)+(Number_of_SSO_agents*'BW Data'!E9))/(Max_Login_Time_All_Agents*60))*kbps*Bandwidth_Confidence_Factor</f>
        <v>207283.8144</v>
      </c>
      <c r="C66" s="6" t="s">
        <v>7</v>
      </c>
      <c r="D66" s="79"/>
      <c r="E66" s="74"/>
      <c r="G66" s="74"/>
      <c r="H66" s="74"/>
    </row>
    <row r="67" spans="1:8" ht="12.75" customHeight="1" x14ac:dyDescent="0.25">
      <c r="A67" s="191" t="s">
        <v>188</v>
      </c>
      <c r="B67" s="111">
        <f>(((Number_of_nonSSO_agents*'BW Data'!E6)+(Number_of_SSO_agents*'BW Data'!E10))/(Max_Login_Time_All_Agents*60))*kbps*Bandwidth_Confidence_Factor</f>
        <v>119360.71680000001</v>
      </c>
      <c r="C67" s="6" t="s">
        <v>7</v>
      </c>
      <c r="D67" s="100"/>
      <c r="E67" s="74"/>
      <c r="G67" s="112"/>
      <c r="H67" s="74"/>
    </row>
    <row r="68" spans="1:8" ht="12.75" customHeight="1" x14ac:dyDescent="0.25">
      <c r="A68" s="191" t="s">
        <v>189</v>
      </c>
      <c r="B68" s="111">
        <f>(((Number_of_nonSSO_supervisors*'BW Data'!E7)+(Number_of_SSO_supervisors*'BW Data'!E11))/(Max_Login_Time_All_Agents*60))*kbps*Bandwidth_Confidence_Factor</f>
        <v>28349.235199999999</v>
      </c>
      <c r="C68" s="6" t="s">
        <v>7</v>
      </c>
      <c r="D68" s="100"/>
      <c r="E68" s="74"/>
      <c r="G68" s="112"/>
      <c r="H68" s="74"/>
    </row>
    <row r="69" spans="1:8" ht="12.75" customHeight="1" thickBot="1" x14ac:dyDescent="0.3">
      <c r="A69" s="191" t="s">
        <v>190</v>
      </c>
      <c r="B69" s="111">
        <f>(((Number_of_nonSSO_supervisors*'BW Data'!E8)+(Number_of_SSO_supervisors*'BW Data'!E12))/(Max_Login_Time_All_Agents*60))*kbps*Bandwidth_Confidence_Factor</f>
        <v>21469.5936</v>
      </c>
      <c r="C69" s="6" t="s">
        <v>7</v>
      </c>
      <c r="D69" s="100"/>
      <c r="E69" s="74"/>
      <c r="G69" s="74"/>
      <c r="H69" s="74"/>
    </row>
    <row r="70" spans="1:8" s="18" customFormat="1" ht="16" customHeight="1" thickBot="1" x14ac:dyDescent="0.4">
      <c r="A70" s="49" t="s">
        <v>191</v>
      </c>
      <c r="B70" s="113">
        <f>B66+B68</f>
        <v>235633.0496</v>
      </c>
      <c r="C70" s="51" t="s">
        <v>7</v>
      </c>
      <c r="D70" s="52"/>
      <c r="E70" s="74"/>
      <c r="G70" s="75"/>
      <c r="H70" s="75"/>
    </row>
    <row r="71" spans="1:8" s="18" customFormat="1" ht="16" customHeight="1" thickBot="1" x14ac:dyDescent="0.4">
      <c r="A71" s="49" t="s">
        <v>192</v>
      </c>
      <c r="B71" s="113">
        <f>B67+B69</f>
        <v>140830.31040000002</v>
      </c>
      <c r="C71" s="51" t="s">
        <v>7</v>
      </c>
      <c r="D71" s="52"/>
      <c r="E71" s="74"/>
      <c r="G71" s="75"/>
      <c r="H71" s="75"/>
    </row>
    <row r="72" spans="1:8" s="18" customFormat="1" ht="16" customHeight="1" x14ac:dyDescent="0.4">
      <c r="A72" s="102" t="s">
        <v>203</v>
      </c>
      <c r="B72" s="103"/>
      <c r="C72" s="102"/>
      <c r="D72" s="104"/>
      <c r="E72" s="74"/>
      <c r="G72" s="75"/>
      <c r="H72" s="75"/>
    </row>
    <row r="73" spans="1:8" s="18" customFormat="1" ht="12" customHeight="1" x14ac:dyDescent="0.35">
      <c r="A73" s="198" t="s">
        <v>193</v>
      </c>
      <c r="B73" s="199">
        <f>((Number_of_mc_agents*'BW Data'!E13*Number_of_Non_Voice_MRDs)/(Max_Login_Time_All_Agents*60))*kbps*Bandwidth_Confidence_Factor</f>
        <v>0</v>
      </c>
      <c r="C73" s="200" t="s">
        <v>7</v>
      </c>
      <c r="D73" s="201"/>
      <c r="E73" s="74"/>
      <c r="G73" s="75"/>
      <c r="H73" s="75"/>
    </row>
    <row r="74" spans="1:8" s="18" customFormat="1" ht="14.15" customHeight="1" thickBot="1" x14ac:dyDescent="0.4">
      <c r="A74" s="198" t="s">
        <v>194</v>
      </c>
      <c r="B74" s="199">
        <f>((Number_of_nonSSO_agents*'BW Data'!E14*Number_of_Non_Voice_MRDs)/(Max_Login_Time_All_Agents*60))*kbps*Bandwidth_Confidence_Factor</f>
        <v>0</v>
      </c>
      <c r="C74" s="200" t="s">
        <v>7</v>
      </c>
      <c r="D74" s="202"/>
      <c r="E74" s="74"/>
      <c r="G74" s="75"/>
      <c r="H74" s="75"/>
    </row>
    <row r="75" spans="1:8" s="18" customFormat="1" ht="16" customHeight="1" thickBot="1" x14ac:dyDescent="0.4">
      <c r="A75" s="49" t="s">
        <v>200</v>
      </c>
      <c r="B75" s="113">
        <f>B73</f>
        <v>0</v>
      </c>
      <c r="C75" s="51" t="s">
        <v>7</v>
      </c>
      <c r="D75" s="52"/>
      <c r="E75" s="74"/>
      <c r="G75" s="75"/>
      <c r="H75" s="75"/>
    </row>
    <row r="76" spans="1:8" s="18" customFormat="1" ht="16" customHeight="1" thickBot="1" x14ac:dyDescent="0.4">
      <c r="A76" s="49" t="s">
        <v>201</v>
      </c>
      <c r="B76" s="113">
        <f>B74</f>
        <v>0</v>
      </c>
      <c r="C76" s="51" t="s">
        <v>7</v>
      </c>
      <c r="D76" s="52"/>
      <c r="E76" s="74"/>
      <c r="G76" s="75"/>
      <c r="H76" s="75"/>
    </row>
    <row r="77" spans="1:8" ht="12.75" customHeight="1" thickBot="1" x14ac:dyDescent="0.3">
      <c r="A77" s="2"/>
      <c r="C77" s="4"/>
      <c r="E77" s="74"/>
      <c r="G77" s="74"/>
      <c r="H77" s="74"/>
    </row>
    <row r="78" spans="1:8" ht="18.649999999999999" customHeight="1" thickBot="1" x14ac:dyDescent="0.4">
      <c r="A78" s="267" t="s">
        <v>239</v>
      </c>
      <c r="B78" s="268"/>
      <c r="C78" s="268"/>
      <c r="D78" s="269"/>
      <c r="E78" s="74"/>
      <c r="G78" s="74"/>
      <c r="H78" s="74"/>
    </row>
    <row r="79" spans="1:8" ht="12.75" customHeight="1" thickBot="1" x14ac:dyDescent="0.3">
      <c r="A79" s="240" t="s">
        <v>256</v>
      </c>
      <c r="B79" s="256">
        <v>400</v>
      </c>
      <c r="C79" s="255" t="s">
        <v>240</v>
      </c>
      <c r="D79" s="21"/>
      <c r="E79" s="74"/>
      <c r="G79" s="74"/>
      <c r="H79" s="74"/>
    </row>
    <row r="80" spans="1:8" ht="12.75" customHeight="1" thickBot="1" x14ac:dyDescent="0.3">
      <c r="A80" s="240" t="s">
        <v>241</v>
      </c>
      <c r="B80" s="257">
        <v>1024</v>
      </c>
      <c r="C80" s="255" t="s">
        <v>126</v>
      </c>
      <c r="D80" s="21"/>
      <c r="E80" s="74"/>
      <c r="G80" s="74"/>
      <c r="H80" s="74"/>
    </row>
    <row r="81" spans="1:8" ht="12.75" customHeight="1" x14ac:dyDescent="0.25">
      <c r="A81" s="2"/>
      <c r="C81" s="4"/>
      <c r="E81" s="74"/>
      <c r="G81" s="74"/>
      <c r="H81" s="74"/>
    </row>
    <row r="82" spans="1:8" ht="12.75" customHeight="1" x14ac:dyDescent="0.25">
      <c r="A82" s="2"/>
      <c r="C82" s="4"/>
      <c r="E82" s="74"/>
      <c r="G82" s="74"/>
      <c r="H82" s="74"/>
    </row>
    <row r="83" spans="1:8" ht="12.75" customHeight="1" x14ac:dyDescent="0.25">
      <c r="A83" s="2"/>
      <c r="C83" s="4"/>
      <c r="E83" s="74"/>
      <c r="G83" s="74"/>
      <c r="H83" s="74"/>
    </row>
    <row r="84" spans="1:8" ht="22.5" customHeight="1" thickBot="1" x14ac:dyDescent="0.45">
      <c r="A84" s="102" t="s">
        <v>136</v>
      </c>
      <c r="B84" s="103"/>
      <c r="C84" s="102"/>
      <c r="D84" s="104"/>
      <c r="E84" s="74"/>
    </row>
    <row r="85" spans="1:8" s="18" customFormat="1" ht="16" customHeight="1" thickBot="1" x14ac:dyDescent="0.4">
      <c r="A85" s="289" t="s">
        <v>81</v>
      </c>
      <c r="B85" s="290"/>
      <c r="C85" s="290"/>
      <c r="D85" s="291"/>
      <c r="G85" s="75"/>
      <c r="H85" s="75"/>
    </row>
    <row r="86" spans="1:8" ht="12.75" customHeight="1" x14ac:dyDescent="0.25">
      <c r="A86" s="270" t="s">
        <v>113</v>
      </c>
      <c r="B86" s="271"/>
      <c r="C86" s="271"/>
      <c r="D86" s="272"/>
      <c r="G86" s="74"/>
      <c r="H86" s="74"/>
    </row>
    <row r="87" spans="1:8" ht="12.75" customHeight="1" x14ac:dyDescent="0.25">
      <c r="A87" s="42" t="s">
        <v>83</v>
      </c>
      <c r="B87" s="30">
        <f>((('BW Data'!E18+('BW Data'!E19*Average_number_of_Skill_Groups_per_Supervisor))*Number_of_Supervisors)/Skill_Group_Refresh_Rate)*kbps*Bandwidth_Confidence_Factor_v9</f>
        <v>319.488</v>
      </c>
      <c r="C87" s="31" t="s">
        <v>7</v>
      </c>
      <c r="D87" s="32">
        <f>IF(B$114&gt;0,B87/B$114,0)</f>
        <v>1.4446764603145585E-2</v>
      </c>
      <c r="G87" s="74"/>
      <c r="H87" s="74"/>
    </row>
    <row r="88" spans="1:8" ht="12.75" customHeight="1" x14ac:dyDescent="0.25">
      <c r="A88" s="43" t="s">
        <v>85</v>
      </c>
      <c r="B88" s="8">
        <f>(IF(Agent_Task_Wrap_Up_Time&gt;0,Avg_agent_state_Changes_Per_Task_Wrap,Avg_Agent_State_Changes_Per_Task_NoWrap)*'BW Data'!E48*(Average_number_of_agents_per_Team/(Agent_Task_Wrap_Up_Time+Average_Task_Duration))*Number_of_teams_for_supervisor*'BW Data'!E68*kbps*Bandwidth_Confidence_Factor_v9)</f>
        <v>37.273600000000002</v>
      </c>
      <c r="C88" s="6" t="s">
        <v>7</v>
      </c>
      <c r="D88" s="32">
        <f>IF(B$114&gt;0,B88/B$114,0)</f>
        <v>1.6854558703669851E-3</v>
      </c>
      <c r="G88" s="74"/>
      <c r="H88" s="74"/>
    </row>
    <row r="89" spans="1:8" ht="12.75" customHeight="1" x14ac:dyDescent="0.25">
      <c r="A89" s="43" t="s">
        <v>139</v>
      </c>
      <c r="B89" s="8">
        <f>IF(Number_of_Supervisors&gt;0,((Calls_Per_Second * Percentage_of_BargedCalls) * 'BW Data'!E49) * kbps * Bandwidth_Confidence_Factor_v9,0)</f>
        <v>1152.9349565217392</v>
      </c>
      <c r="C89" s="6" t="s">
        <v>7</v>
      </c>
      <c r="D89" s="32">
        <f>IF(B$114&gt;0,B89/B$114,0)</f>
        <v>5.2133976611351461E-2</v>
      </c>
      <c r="G89" s="74"/>
      <c r="H89" s="74"/>
    </row>
    <row r="90" spans="1:8" ht="12.75" customHeight="1" x14ac:dyDescent="0.25">
      <c r="A90" s="43" t="s">
        <v>140</v>
      </c>
      <c r="B90" s="8">
        <f>IF(Number_of_Supervisors&gt;0,((Calls_Per_Second * Percentage_of_InterceptedCalls) * 'BW Data'!E50) * kbps * Bandwidth_Confidence_Factor_v9,0)</f>
        <v>125.01704347826089</v>
      </c>
      <c r="C90" s="6" t="s">
        <v>7</v>
      </c>
      <c r="D90" s="32">
        <f>IF(B$114&gt;0,B90/B$114,0)</f>
        <v>5.6530818012308819E-3</v>
      </c>
      <c r="G90" s="74"/>
      <c r="H90" s="74"/>
    </row>
    <row r="91" spans="1:8" ht="12.75" customHeight="1" x14ac:dyDescent="0.25">
      <c r="A91" s="43" t="s">
        <v>112</v>
      </c>
      <c r="B91" s="8">
        <f>IF(Number_of_Supervisors&gt;0,((Calls_Per_Second * Percentage_Calls_Silently_Monitored) * 'BW Data'!E47) * kbps * Bandwidth_Confidence_Factor_v9,0)</f>
        <v>1625.2215652173913</v>
      </c>
      <c r="C91" s="6" t="s">
        <v>7</v>
      </c>
      <c r="D91" s="32">
        <f>IF(B$114&gt;0,B91/B$114,0)</f>
        <v>7.349006341600145E-2</v>
      </c>
      <c r="E91" s="74"/>
      <c r="G91" s="74"/>
      <c r="H91" s="74"/>
    </row>
    <row r="92" spans="1:8" ht="12.75" customHeight="1" x14ac:dyDescent="0.25">
      <c r="A92" s="270" t="s">
        <v>114</v>
      </c>
      <c r="B92" s="271"/>
      <c r="C92" s="271"/>
      <c r="D92" s="272"/>
      <c r="E92" s="74"/>
      <c r="G92" s="74"/>
      <c r="H92" s="74"/>
    </row>
    <row r="93" spans="1:8" ht="12.75" customHeight="1" x14ac:dyDescent="0.25">
      <c r="A93" s="44" t="s">
        <v>28</v>
      </c>
      <c r="B93" s="8">
        <f>(((Calls_Per_Second*Percentage_of_Incoming_Straight_Calls) * 'BW Data'!E21) + ((Calls_Per_Second*Percentage_of_Outgoing_Straight_Calls) * 'BW Data'!E22)) * kbps * Bandwidth_Confidence_Factor_v9</f>
        <v>3167.0984347826088</v>
      </c>
      <c r="C93" s="6" t="s">
        <v>7</v>
      </c>
      <c r="D93" s="32">
        <f t="shared" ref="D93:D113" si="0">IF(B$114&gt;0,B93/B$114,0)</f>
        <v>0.14321140563118231</v>
      </c>
      <c r="E93" s="74"/>
      <c r="G93" s="74"/>
      <c r="H93" s="74"/>
    </row>
    <row r="94" spans="1:8" ht="12.75" customHeight="1" x14ac:dyDescent="0.25">
      <c r="A94" s="148" t="s">
        <v>151</v>
      </c>
      <c r="B94" s="149">
        <f>((Calls_Per_Second*Percentage_of_SingleStep_Transfer_Calls)*'BW Data'!E25*kbps*Bandwidth_Confidence_Factor_v9)</f>
        <v>2222.5252173913045</v>
      </c>
      <c r="C94" s="150" t="s">
        <v>7</v>
      </c>
      <c r="D94" s="151">
        <f t="shared" si="0"/>
        <v>0.10049923202188234</v>
      </c>
      <c r="E94" s="74"/>
      <c r="G94" s="74"/>
      <c r="H94" s="74"/>
    </row>
    <row r="95" spans="1:8" ht="12.75" customHeight="1" x14ac:dyDescent="0.25">
      <c r="A95" s="44" t="s">
        <v>26</v>
      </c>
      <c r="B95" s="8">
        <f>((Calls_Per_Second * Percentage_of_Consultative_Transfer_Calls) * 'BW Data'!E23) * kbps * Bandwidth_Confidence_Factor_v9</f>
        <v>2500.3408695652174</v>
      </c>
      <c r="C95" s="6" t="s">
        <v>7</v>
      </c>
      <c r="D95" s="32">
        <f t="shared" si="0"/>
        <v>0.11306163602461762</v>
      </c>
      <c r="E95" s="74"/>
      <c r="G95" s="74"/>
      <c r="H95" s="74"/>
    </row>
    <row r="96" spans="1:8" ht="12.75" customHeight="1" x14ac:dyDescent="0.25">
      <c r="A96" s="44" t="s">
        <v>27</v>
      </c>
      <c r="B96" s="8">
        <f>((Calls_Per_Second* Percentage_of_Consultative_Conference_Calls) * 'BW Data'!E24) * kbps * Bandwidth_Confidence_Factor_v9</f>
        <v>1347.4059130434784</v>
      </c>
      <c r="C96" s="6" t="s">
        <v>7</v>
      </c>
      <c r="D96" s="32">
        <f t="shared" si="0"/>
        <v>6.0927659413266173E-2</v>
      </c>
      <c r="E96" s="74"/>
      <c r="G96" s="74"/>
      <c r="H96" s="74"/>
    </row>
    <row r="97" spans="1:8" ht="12.75" customHeight="1" x14ac:dyDescent="0.25">
      <c r="A97" s="43" t="s">
        <v>92</v>
      </c>
      <c r="B97" s="8">
        <f>IF(Agent_Call_Wrap_Up_Time&gt;0,Calls_Per_Second*'BW Data'!E26 * kbps * Bandwidth_Confidence_Factor_v9,0)</f>
        <v>6945.391304347826</v>
      </c>
      <c r="C97" s="98" t="s">
        <v>7</v>
      </c>
      <c r="D97" s="32">
        <f t="shared" si="0"/>
        <v>0.31406010006838231</v>
      </c>
      <c r="E97" s="74"/>
      <c r="G97" s="74"/>
      <c r="H97" s="74"/>
    </row>
    <row r="98" spans="1:8" ht="12.75" customHeight="1" x14ac:dyDescent="0.25">
      <c r="A98" s="43" t="s">
        <v>108</v>
      </c>
      <c r="B98" s="8">
        <f>IF(Number_of_Configured_ECC_variables&gt;0,(Sum_of_all_ECC_Variable_Values+Sum_of_all_ECC_Variable_Names+(Number_of_Configured_ECC_variables*'BW Data'!E42))*Avg_Number_Dialog_Events_Per_IncomingCall*Percentage_of_Incoming_Straight_Calls*Calls_Per_Second*kbps*Bandwidth_Confidence_Factor_v9,0)</f>
        <v>338.6692173913043</v>
      </c>
      <c r="C98" s="6" t="s">
        <v>7</v>
      </c>
      <c r="D98" s="32">
        <f t="shared" si="0"/>
        <v>1.531411027013131E-2</v>
      </c>
      <c r="E98" s="74"/>
      <c r="G98" s="74"/>
      <c r="H98" s="74"/>
    </row>
    <row r="99" spans="1:8" ht="12.75" customHeight="1" x14ac:dyDescent="0.25">
      <c r="A99" s="43" t="s">
        <v>115</v>
      </c>
      <c r="B99" s="8">
        <f>IF(Number_of_Configured_ECC_variables&gt;0,(Sum_of_all_ECC_Variable_Values+Sum_of_all_ECC_Variable_Names+(Number_of_Configured_ECC_variables*'BW Data'!E42))*Avg_Number_Dialog_Events_Per_OutCall*Percentage_of_Outgoing_Straight_Calls*Calls_Per_Second*kbps*Bandwidth_Confidence_Factor_v9,0)</f>
        <v>903.1179130434781</v>
      </c>
      <c r="C99" s="6" t="s">
        <v>7</v>
      </c>
      <c r="D99" s="32">
        <f t="shared" si="0"/>
        <v>4.083762738701683E-2</v>
      </c>
      <c r="E99" s="74"/>
      <c r="G99" s="74"/>
      <c r="H99" s="74"/>
    </row>
    <row r="100" spans="1:8" ht="12.75" customHeight="1" x14ac:dyDescent="0.25">
      <c r="A100" s="43" t="s">
        <v>109</v>
      </c>
      <c r="B100" s="8">
        <f>IF(Number_of_Configured_ECC_variables&gt;0,(Sum_of_all_ECC_Variable_Values+Sum_of_all_ECC_Variable_Names+(Number_of_Configured_ECC_variables*'BW Data'!E42))*Avg_Number_Dialog_Events_Per_ConfCall*Percentage_of_Consultative_Conference_Calls*Calls_Per_Second*kbps*Bandwidth_Confidence_Factor_v9,0)</f>
        <v>564.44869565217391</v>
      </c>
      <c r="C100" s="6" t="s">
        <v>7</v>
      </c>
      <c r="D100" s="32">
        <f t="shared" si="0"/>
        <v>2.5523517116885521E-2</v>
      </c>
      <c r="E100" s="74"/>
      <c r="G100" s="74"/>
      <c r="H100" s="74"/>
    </row>
    <row r="101" spans="1:8" ht="12.75" customHeight="1" x14ac:dyDescent="0.25">
      <c r="A101" s="43" t="s">
        <v>110</v>
      </c>
      <c r="B101" s="8">
        <f>IF(Number_of_Configured_ECC_variables&gt;0,(Sum_of_all_ECC_Variable_Values+Sum_of_all_ECC_Variable_Names+(Number_of_Configured_ECC_variables*'BW Data'!E42))*Avg_Number_Dialog_Events_Per_XferCall*Percentage_of_Consultative_Transfer_Calls*Calls_Per_Second*kbps*Bandwidth_Confidence_Factor_v9,0)</f>
        <v>451.55895652173916</v>
      </c>
      <c r="C101" s="6" t="s">
        <v>7</v>
      </c>
      <c r="D101" s="32">
        <f t="shared" si="0"/>
        <v>2.0418813693508418E-2</v>
      </c>
      <c r="E101" s="74"/>
      <c r="G101" s="74"/>
      <c r="H101" s="74"/>
    </row>
    <row r="102" spans="1:8" ht="12" customHeight="1" x14ac:dyDescent="0.25">
      <c r="A102" s="43" t="s">
        <v>104</v>
      </c>
      <c r="B102" s="8">
        <f>(Sum_of_all_Call_Variable_Values+(Number_of_Configured_Call_variables*'BW Data'!E45))*Avg_Number_Dialog_Events_Per_IncomingCall*Percentage_of_Incoming_Straight_Calls*Calls_Per_Second*kbps*Bandwidth_Confidence_Factor_v9</f>
        <v>62.020173913043479</v>
      </c>
      <c r="C102" s="6" t="s">
        <v>7</v>
      </c>
      <c r="D102" s="32">
        <f t="shared" si="0"/>
        <v>2.8044585498293827E-3</v>
      </c>
      <c r="E102" s="74"/>
      <c r="G102" s="74"/>
      <c r="H102" s="74"/>
    </row>
    <row r="103" spans="1:8" ht="12.75" customHeight="1" x14ac:dyDescent="0.25">
      <c r="A103" s="43" t="s">
        <v>105</v>
      </c>
      <c r="B103" s="8">
        <f>(Sum_of_all_Call_Variable_Values+(Number_of_Configured_Call_variables*'BW Data'!E45))*Avg_Number_Dialog_Events_Per_OutCall*Percentage_of_Outgoing_Straight_Calls*Calls_Per_Second*kbps*Bandwidth_Confidence_Factor_v9</f>
        <v>165.38713043478262</v>
      </c>
      <c r="C103" s="6" t="s">
        <v>7</v>
      </c>
      <c r="D103" s="32">
        <f t="shared" si="0"/>
        <v>7.4785561328783541E-3</v>
      </c>
      <c r="E103" s="74"/>
      <c r="G103" s="74"/>
      <c r="H103" s="74"/>
    </row>
    <row r="104" spans="1:8" ht="12.75" customHeight="1" x14ac:dyDescent="0.25">
      <c r="A104" s="43" t="s">
        <v>106</v>
      </c>
      <c r="B104" s="8">
        <f>(Sum_of_all_Call_Variable_Values_v901+(Number_of_Configured_Call_variables*'BW Data'!E45))*Avg_Number_Dialog_Events_Per_ConfCall*Percentage_of_Consultative_Conference_Calls*Calls_Per_Second*kbps*Bandwidth_Confidence_Factor_v9</f>
        <v>103.36695652173913</v>
      </c>
      <c r="C104" s="6" t="s">
        <v>7</v>
      </c>
      <c r="D104" s="32">
        <f t="shared" si="0"/>
        <v>4.6740975830489705E-3</v>
      </c>
      <c r="E104" s="74"/>
      <c r="G104" s="74"/>
      <c r="H104" s="74"/>
    </row>
    <row r="105" spans="1:8" ht="12.75" customHeight="1" x14ac:dyDescent="0.25">
      <c r="A105" s="43" t="s">
        <v>107</v>
      </c>
      <c r="B105" s="8">
        <f>(Sum_of_all_Call_Variable_Values+(Number_of_Configured_Call_variables*'BW Data'!E45))*Avg_Number_Dialog_Events_Per_XferCall*Percentage_of_Consultative_Transfer_Calls*Calls_Per_Second*kbps*Bandwidth_Confidence_Factor_v9</f>
        <v>82.69356521739131</v>
      </c>
      <c r="C105" s="6" t="s">
        <v>7</v>
      </c>
      <c r="D105" s="32">
        <f t="shared" si="0"/>
        <v>3.739278066439177E-3</v>
      </c>
      <c r="E105" s="74"/>
      <c r="G105" s="74"/>
      <c r="H105" s="74"/>
    </row>
    <row r="106" spans="1:8" ht="12.75" customHeight="1" x14ac:dyDescent="0.25">
      <c r="A106" s="43" t="s">
        <v>242</v>
      </c>
      <c r="B106" s="43">
        <f>(((B79/(60*60))*B80)/1024)</f>
        <v>0.1111111111111111</v>
      </c>
      <c r="C106" s="6" t="s">
        <v>7</v>
      </c>
      <c r="D106" s="32">
        <f t="shared" si="0"/>
        <v>5.0242765519086043E-6</v>
      </c>
      <c r="E106" s="74"/>
      <c r="G106" s="74"/>
      <c r="H106" s="74"/>
    </row>
    <row r="107" spans="1:8" ht="12.75" customHeight="1" x14ac:dyDescent="0.25">
      <c r="A107" s="203" t="s">
        <v>205</v>
      </c>
      <c r="B107" s="204">
        <f>((Tasks_Per_Second*Percentage_of_Incoming_Straight_Tasks) * 'BW Data'!E34) * kbps * Bandwidth_Confidence_Factor</f>
        <v>7.7514666666666676E-2</v>
      </c>
      <c r="C107" s="200" t="s">
        <v>7</v>
      </c>
      <c r="D107" s="205">
        <f t="shared" si="0"/>
        <v>3.5050960994611036E-6</v>
      </c>
      <c r="E107" s="74"/>
      <c r="G107" s="74"/>
      <c r="H107" s="74"/>
    </row>
    <row r="108" spans="1:8" ht="12.75" customHeight="1" x14ac:dyDescent="0.25">
      <c r="A108" s="206" t="s">
        <v>206</v>
      </c>
      <c r="B108" s="207">
        <f>((Tasks_Per_Second*Percentage_of_Transferred_Tasks)*'BW Data'!E35*kbps*Bandwidth_Confidence_Factor)</f>
        <v>0.15735142222222223</v>
      </c>
      <c r="C108" s="208" t="s">
        <v>7</v>
      </c>
      <c r="D108" s="209">
        <f t="shared" si="0"/>
        <v>7.115193549725235E-6</v>
      </c>
      <c r="E108" s="74"/>
      <c r="G108" s="74"/>
      <c r="H108" s="74"/>
    </row>
    <row r="109" spans="1:8" ht="12.75" customHeight="1" x14ac:dyDescent="0.25">
      <c r="A109" s="203" t="s">
        <v>207</v>
      </c>
      <c r="B109" s="204">
        <f>((Tasks_Per_Second * Percentage_of_Interrupted_Tasks) * 'BW Data'!E38) * kbps * Bandwidth_Confidence_Factor</f>
        <v>0.42451644444444442</v>
      </c>
      <c r="C109" s="200" t="s">
        <v>7</v>
      </c>
      <c r="D109" s="205">
        <f t="shared" si="0"/>
        <v>1.9195992159496502E-5</v>
      </c>
      <c r="E109" s="74"/>
      <c r="G109" s="74"/>
      <c r="H109" s="74"/>
    </row>
    <row r="110" spans="1:8" ht="12.75" customHeight="1" x14ac:dyDescent="0.25">
      <c r="A110" s="203" t="s">
        <v>208</v>
      </c>
      <c r="B110" s="204">
        <f>(Tasks_Per_Second*Percentage_of_Paused_and_Resumed_Tasks)*('BW Data'!E36+'BW Data'!E37)*kbps*Bandwidth_Confidence_Factor</f>
        <v>0.11776555555555555</v>
      </c>
      <c r="C110" s="200" t="s">
        <v>7</v>
      </c>
      <c r="D110" s="205">
        <f t="shared" si="0"/>
        <v>5.3251804746024102E-6</v>
      </c>
      <c r="E110" s="74"/>
      <c r="G110" s="74"/>
      <c r="H110" s="74"/>
    </row>
    <row r="111" spans="1:8" ht="12.75" customHeight="1" thickBot="1" x14ac:dyDescent="0.3">
      <c r="A111" s="210" t="s">
        <v>211</v>
      </c>
      <c r="B111" s="204">
        <f>IF(Agent_Task_Wrap_Up_Time&gt;0,Tasks_Per_Second*'BW Data'!E39*kbps*Bandwidth_Confidence_Factor,0)</f>
        <v>0</v>
      </c>
      <c r="C111" s="211" t="s">
        <v>7</v>
      </c>
      <c r="D111" s="205">
        <f t="shared" si="0"/>
        <v>0</v>
      </c>
      <c r="E111" s="74"/>
      <c r="G111" s="74"/>
      <c r="H111" s="74"/>
    </row>
    <row r="112" spans="1:8" ht="12.75" customHeight="1" thickBot="1" x14ac:dyDescent="0.3">
      <c r="A112" s="41" t="s">
        <v>61</v>
      </c>
      <c r="B112" s="39">
        <f>SUM(B93:B111)</f>
        <v>18854.912607026083</v>
      </c>
      <c r="C112" s="40" t="s">
        <v>7</v>
      </c>
      <c r="D112" s="33">
        <f t="shared" si="0"/>
        <v>0.85259065769790365</v>
      </c>
      <c r="E112" s="74"/>
      <c r="G112" s="74"/>
      <c r="H112" s="74"/>
    </row>
    <row r="113" spans="1:8" ht="12.75" customHeight="1" thickBot="1" x14ac:dyDescent="0.3">
      <c r="A113" s="41" t="s">
        <v>62</v>
      </c>
      <c r="B113" s="39">
        <f>SUM(B87:B91)</f>
        <v>3259.9351652173914</v>
      </c>
      <c r="C113" s="40" t="s">
        <v>7</v>
      </c>
      <c r="D113" s="33">
        <f t="shared" si="0"/>
        <v>0.14740934230209637</v>
      </c>
      <c r="E113" s="74"/>
      <c r="G113" s="74"/>
      <c r="H113" s="74"/>
    </row>
    <row r="114" spans="1:8" s="18" customFormat="1" ht="16" customHeight="1" thickBot="1" x14ac:dyDescent="0.4">
      <c r="A114" s="49" t="s">
        <v>63</v>
      </c>
      <c r="B114" s="50">
        <f>SUM(B112:B113)</f>
        <v>22114.847772243473</v>
      </c>
      <c r="C114" s="51" t="s">
        <v>7</v>
      </c>
      <c r="D114" s="52">
        <f>SUM(D87:D105)</f>
        <v>0.99995983426116497</v>
      </c>
      <c r="E114" s="74"/>
      <c r="G114" s="75"/>
      <c r="H114" s="75"/>
    </row>
    <row r="115" spans="1:8" ht="12.75" customHeight="1" thickBot="1" x14ac:dyDescent="0.3">
      <c r="A115" s="41" t="s">
        <v>93</v>
      </c>
      <c r="B115" s="39">
        <f>IF(Number_of_Agents&gt;0,MAX(SUM(B93, B98:B99, B102:B103),SUM(B94, B101, B105), SUM(B95, B101, B105), SUM(B96,B100, B104), SUM(B97, B102))/Calls_Per_Second,0)</f>
        <v>537.23487999999998</v>
      </c>
      <c r="C115" s="40" t="s">
        <v>7</v>
      </c>
      <c r="D115" s="33"/>
      <c r="G115" s="74"/>
      <c r="H115" s="74"/>
    </row>
    <row r="116" spans="1:8" ht="12.75" customHeight="1" thickBot="1" x14ac:dyDescent="0.3">
      <c r="A116" s="41" t="s">
        <v>94</v>
      </c>
      <c r="B116" s="39">
        <f>IF(Number_of_Supervisors&gt;0,SUM(B87:B88, SUM(MAX(B98:B106), MAX(B89:B97)))/Calls_Per_Second,0)</f>
        <v>629.07076266666672</v>
      </c>
      <c r="C116" s="40" t="s">
        <v>7</v>
      </c>
      <c r="D116" s="33"/>
      <c r="G116" s="74"/>
      <c r="H116" s="74"/>
    </row>
    <row r="117" spans="1:8" ht="12.75" customHeight="1" x14ac:dyDescent="0.25"/>
    <row r="118" spans="1:8" ht="19" customHeight="1" thickBot="1" x14ac:dyDescent="0.45">
      <c r="A118" s="303" t="s">
        <v>252</v>
      </c>
      <c r="B118" s="304"/>
      <c r="C118" s="304"/>
      <c r="D118" s="304"/>
    </row>
    <row r="119" spans="1:8" ht="12.75" customHeight="1" thickBot="1" x14ac:dyDescent="0.3">
      <c r="A119" s="240" t="s">
        <v>257</v>
      </c>
      <c r="B119" s="256">
        <v>3000</v>
      </c>
      <c r="C119" s="255"/>
      <c r="D119" s="21"/>
    </row>
    <row r="120" spans="1:8" ht="12.75" customHeight="1" thickBot="1" x14ac:dyDescent="0.3">
      <c r="A120" s="240" t="s">
        <v>258</v>
      </c>
      <c r="B120" s="257">
        <v>0.36699999999999999</v>
      </c>
      <c r="C120" s="263" t="s">
        <v>259</v>
      </c>
      <c r="D120" s="21"/>
    </row>
    <row r="121" spans="1:8" ht="12.75" customHeight="1" x14ac:dyDescent="0.25"/>
    <row r="122" spans="1:8" ht="12.75" customHeight="1" x14ac:dyDescent="0.25"/>
    <row r="123" spans="1:8" ht="12.75" customHeight="1" x14ac:dyDescent="0.25"/>
    <row r="124" spans="1:8" ht="22.5" customHeight="1" thickBot="1" x14ac:dyDescent="0.45">
      <c r="A124" s="102" t="s">
        <v>137</v>
      </c>
      <c r="B124" s="103"/>
      <c r="C124" s="102"/>
      <c r="D124" s="104"/>
    </row>
    <row r="125" spans="1:8" s="18" customFormat="1" ht="16" customHeight="1" thickBot="1" x14ac:dyDescent="0.4">
      <c r="A125" s="289" t="s">
        <v>81</v>
      </c>
      <c r="B125" s="290"/>
      <c r="C125" s="290"/>
      <c r="D125" s="291"/>
      <c r="G125" s="75"/>
      <c r="H125" s="75"/>
    </row>
    <row r="126" spans="1:8" ht="12.75" customHeight="1" x14ac:dyDescent="0.25">
      <c r="A126" s="270" t="s">
        <v>113</v>
      </c>
      <c r="B126" s="271"/>
      <c r="C126" s="271"/>
      <c r="D126" s="272"/>
      <c r="G126" s="74"/>
      <c r="H126" s="74"/>
    </row>
    <row r="127" spans="1:8" ht="12.75" customHeight="1" x14ac:dyDescent="0.25">
      <c r="A127" s="42" t="s">
        <v>138</v>
      </c>
      <c r="B127" s="30">
        <f>((Number_of_Supervisors*'BW Data'!F7)/(Max_Login_Time_All_Agents*60))*kbps*Bandwidth_Confidence_Factor_v91</f>
        <v>19.045866666666665</v>
      </c>
      <c r="C127" s="31" t="s">
        <v>7</v>
      </c>
      <c r="D127" s="32">
        <f>IF(B$156&gt;0,B127/B$156,0)</f>
        <v>2.7408274198938609E-3</v>
      </c>
      <c r="G127" s="74"/>
      <c r="H127" s="74"/>
    </row>
    <row r="128" spans="1:8" ht="12.75" customHeight="1" x14ac:dyDescent="0.25">
      <c r="A128" s="42" t="s">
        <v>83</v>
      </c>
      <c r="B128" s="30">
        <f>(('BW Data'!F19*Number_of_Skill_Groups_PG)/Skill_Group_Refresh_Rate_v91)*kbps*Bandwidth_Confidence_Factor_v91</f>
        <v>2237.04</v>
      </c>
      <c r="C128" s="31" t="s">
        <v>7</v>
      </c>
      <c r="D128" s="32">
        <f t="shared" ref="D128:D132" si="1">IF(B$156&gt;0,B128/B$156,0)</f>
        <v>0.32192499709819961</v>
      </c>
      <c r="G128" s="74"/>
      <c r="H128" s="74"/>
    </row>
    <row r="129" spans="1:8" ht="12.75" customHeight="1" x14ac:dyDescent="0.25">
      <c r="A129" s="43" t="s">
        <v>85</v>
      </c>
      <c r="B129" s="30">
        <f>(IF(Agent_Call_Wrap_Up_Time&gt;0,Avg_Agent_State_Changes_Per_Call_Wrap,Avg_Agent_State_Changes_Per_Call_NoWrap)*'BW Data'!F48*Calls_Per_Second*'BW Data'!E68*kbps*Bandwidth_Confidence_Factor_v91)</f>
        <v>1054.8313043478261</v>
      </c>
      <c r="C129" s="6" t="s">
        <v>7</v>
      </c>
      <c r="D129" s="32">
        <f t="shared" si="1"/>
        <v>0.15179726987057182</v>
      </c>
      <c r="G129" s="74"/>
      <c r="H129" s="74"/>
    </row>
    <row r="130" spans="1:8" ht="12.75" customHeight="1" x14ac:dyDescent="0.25">
      <c r="A130" s="43" t="s">
        <v>139</v>
      </c>
      <c r="B130" s="30">
        <f>IF(Number_of_Supervisors&gt;0,((Calls_Per_Second* Percentage_of_BargedCalls) * 'BW Data'!F49) * kbps * Bandwidth_Confidence_Factor_v91,0)</f>
        <v>69.453913043478266</v>
      </c>
      <c r="C130" s="6" t="s">
        <v>7</v>
      </c>
      <c r="D130" s="32">
        <f t="shared" si="1"/>
        <v>9.9948819667866236E-3</v>
      </c>
      <c r="G130" s="74"/>
      <c r="H130" s="74"/>
    </row>
    <row r="131" spans="1:8" ht="12.75" customHeight="1" x14ac:dyDescent="0.25">
      <c r="A131" s="43" t="s">
        <v>140</v>
      </c>
      <c r="B131" s="30">
        <f>IF(Number_of_Supervisors&gt;0,((Calls_Per_Second* Percentage_of_InterceptedCalls) * 'BW Data'!F50) * kbps * Bandwidth_Confidence_Factor_v91,0)</f>
        <v>7.9627826086956528</v>
      </c>
      <c r="C131" s="6" t="s">
        <v>7</v>
      </c>
      <c r="D131" s="32">
        <f t="shared" si="1"/>
        <v>1.1458976004890132E-3</v>
      </c>
      <c r="G131" s="74"/>
      <c r="H131" s="74"/>
    </row>
    <row r="132" spans="1:8" ht="12.75" customHeight="1" x14ac:dyDescent="0.25">
      <c r="A132" s="43" t="s">
        <v>112</v>
      </c>
      <c r="B132" s="8">
        <f>IF(Number_of_Supervisors&gt;0,((Calls_Per_Second* Percentage_Calls_Silently_Monitored) * 'BW Data'!F47) * kbps * Bandwidth_Confidence_Factor_v91,0)</f>
        <v>49.268869565217386</v>
      </c>
      <c r="C132" s="6" t="s">
        <v>7</v>
      </c>
      <c r="D132" s="32">
        <f t="shared" si="1"/>
        <v>7.0901193951892604E-3</v>
      </c>
      <c r="G132" s="74"/>
      <c r="H132" s="74"/>
    </row>
    <row r="133" spans="1:8" ht="12.75" customHeight="1" x14ac:dyDescent="0.25">
      <c r="A133" s="270" t="s">
        <v>114</v>
      </c>
      <c r="B133" s="271"/>
      <c r="C133" s="271"/>
      <c r="D133" s="272"/>
      <c r="G133" s="74"/>
      <c r="H133" s="74"/>
    </row>
    <row r="134" spans="1:8" ht="12.75" customHeight="1" x14ac:dyDescent="0.25">
      <c r="A134" s="44" t="s">
        <v>28</v>
      </c>
      <c r="B134" s="8">
        <f>(((Calls_Per_Second*Percentage_of_Incoming_Straight_Calls) * 'BW Data'!F21) + ((Calls_Per_Second*Percentage_of_Outgoing_Straight_Calls) * 'BW Data'!F22)) * kbps * Bandwidth_Confidence_Factor_v91</f>
        <v>692.76208695652178</v>
      </c>
      <c r="C134" s="6" t="s">
        <v>7</v>
      </c>
      <c r="D134" s="32">
        <f t="shared" ref="D134:D147" si="2">IF(B$156&gt;0,B134/B$156,0)</f>
        <v>9.9693091242544163E-2</v>
      </c>
      <c r="G134" s="74"/>
      <c r="H134" s="74"/>
    </row>
    <row r="135" spans="1:8" ht="12.75" hidden="1" customHeight="1" x14ac:dyDescent="0.25">
      <c r="A135" s="89" t="s">
        <v>82</v>
      </c>
      <c r="B135" s="88">
        <v>0</v>
      </c>
      <c r="C135" s="90" t="s">
        <v>7</v>
      </c>
      <c r="D135" s="32">
        <f t="shared" si="2"/>
        <v>0</v>
      </c>
      <c r="G135" s="74"/>
      <c r="H135" s="74"/>
    </row>
    <row r="136" spans="1:8" ht="12.75" customHeight="1" x14ac:dyDescent="0.25">
      <c r="A136" s="44" t="s">
        <v>26</v>
      </c>
      <c r="B136" s="8">
        <f>((Calls_Per_Second* Percentage_of_Consultative_Transfer_Calls) * 'BW Data'!F23) * kbps * Bandwidth_Confidence_Factor_v91</f>
        <v>191.81217391304349</v>
      </c>
      <c r="C136" s="6" t="s">
        <v>7</v>
      </c>
      <c r="D136" s="32">
        <f t="shared" si="2"/>
        <v>2.7603052931711496E-2</v>
      </c>
      <c r="G136" s="74"/>
      <c r="H136" s="74"/>
    </row>
    <row r="137" spans="1:8" ht="12.75" customHeight="1" x14ac:dyDescent="0.25">
      <c r="A137" s="44" t="s">
        <v>27</v>
      </c>
      <c r="B137" s="8">
        <f>((Calls_Per_Second * Percentage_of_Consultative_Conference_Calls) * 'BW Data'!F24) * kbps * Bandwidth_Confidence_Factor_v91</f>
        <v>189.94017391304348</v>
      </c>
      <c r="C137" s="6" t="s">
        <v>7</v>
      </c>
      <c r="D137" s="32">
        <f t="shared" si="2"/>
        <v>2.7333659628700449E-2</v>
      </c>
      <c r="G137" s="74"/>
      <c r="H137" s="74"/>
    </row>
    <row r="138" spans="1:8" ht="12.75" customHeight="1" x14ac:dyDescent="0.25">
      <c r="A138" s="43" t="s">
        <v>133</v>
      </c>
      <c r="B138" s="8">
        <f>((Calls_Per_Second * Percentage_of_SingleStep_Transfer_Calls) * 'BW Data'!F25) * kbps * Bandwidth_Confidence_Factor_v91</f>
        <v>344.61078260869573</v>
      </c>
      <c r="C138" s="98" t="s">
        <v>7</v>
      </c>
      <c r="D138" s="32">
        <f t="shared" si="2"/>
        <v>4.9591793258642075E-2</v>
      </c>
      <c r="G138" s="74"/>
      <c r="H138" s="74"/>
    </row>
    <row r="139" spans="1:8" ht="12.75" customHeight="1" x14ac:dyDescent="0.25">
      <c r="A139" s="43" t="s">
        <v>92</v>
      </c>
      <c r="B139" s="8">
        <f>IF(Agent_Call_Wrap_Up_Time&gt;0,Calls_Per_Second*'BW Data'!F26 * kbps * Bandwidth_Confidence_Factor_v91,0)</f>
        <v>695.48869565217387</v>
      </c>
      <c r="C139" s="98" t="s">
        <v>7</v>
      </c>
      <c r="D139" s="32">
        <f t="shared" si="2"/>
        <v>0.10008546844475588</v>
      </c>
      <c r="G139" s="74"/>
      <c r="H139" s="74"/>
    </row>
    <row r="140" spans="1:8" ht="12.75" customHeight="1" x14ac:dyDescent="0.25">
      <c r="A140" s="43" t="s">
        <v>108</v>
      </c>
      <c r="B140" s="8">
        <f>IF(Number_of_Configured_ECC_variables&gt;0,(Sum_of_all_ECC_Variable_Values+Sum_of_all_ECC_Variable_Names)*Percentage_of_Incoming_Straight_Calls*Calls_Per_Second*kbps*Bandwidth_Confidence_Factor_v91,0)</f>
        <v>106.21565217391303</v>
      </c>
      <c r="C140" s="6" t="s">
        <v>7</v>
      </c>
      <c r="D140" s="32">
        <f t="shared" si="2"/>
        <v>1.5285141757800635E-2</v>
      </c>
      <c r="G140" s="74"/>
      <c r="H140" s="74"/>
    </row>
    <row r="141" spans="1:8" ht="12.75" customHeight="1" x14ac:dyDescent="0.25">
      <c r="A141" s="43" t="s">
        <v>115</v>
      </c>
      <c r="B141" s="8">
        <f>IF(Number_of_Configured_ECC_variables&gt;0,(Sum_of_all_ECC_Variable_Values+Sum_of_all_ECC_Variable_Names)*Percentage_of_Outgoing_Straight_Calls*Calls_Per_Second*kbps*Bandwidth_Confidence_Factor_v91,0)</f>
        <v>106.21565217391303</v>
      </c>
      <c r="C141" s="6" t="s">
        <v>7</v>
      </c>
      <c r="D141" s="32">
        <f t="shared" si="2"/>
        <v>1.5285141757800635E-2</v>
      </c>
      <c r="G141" s="74"/>
      <c r="H141" s="74"/>
    </row>
    <row r="142" spans="1:8" ht="12.75" customHeight="1" x14ac:dyDescent="0.25">
      <c r="A142" s="43" t="s">
        <v>109</v>
      </c>
      <c r="B142" s="8">
        <f>IF(Number_of_Configured_ECC_variables&gt;0,(Sum_of_all_ECC_Variable_Values+Sum_of_all_ECC_Variable_Names)*Percentage_of_Consultative_Conference_Calls*Calls_Per_Second*kbps*Bandwidth_Confidence_Factor_v91,0)</f>
        <v>35.405217391304348</v>
      </c>
      <c r="C142" s="6" t="s">
        <v>7</v>
      </c>
      <c r="D142" s="32">
        <f t="shared" si="2"/>
        <v>5.0950472526002117E-3</v>
      </c>
      <c r="G142" s="74"/>
      <c r="H142" s="74"/>
    </row>
    <row r="143" spans="1:8" ht="12.75" customHeight="1" x14ac:dyDescent="0.25">
      <c r="A143" s="43" t="s">
        <v>110</v>
      </c>
      <c r="B143" s="8">
        <f>IF(Number_of_Configured_ECC_variables&gt;0,(Sum_of_all_ECC_Variable_Values+Sum_of_all_ECC_Variable_Names)*Percentage_of_Consultative_Transfer_Calls*Calls_Per_Second*kbps*Bandwidth_Confidence_Factor_v91,0)</f>
        <v>35.405217391304348</v>
      </c>
      <c r="C143" s="6" t="s">
        <v>7</v>
      </c>
      <c r="D143" s="32">
        <f t="shared" si="2"/>
        <v>5.0950472526002117E-3</v>
      </c>
      <c r="G143" s="74"/>
      <c r="H143" s="74"/>
    </row>
    <row r="144" spans="1:8" ht="12" customHeight="1" x14ac:dyDescent="0.25">
      <c r="A144" s="43" t="s">
        <v>104</v>
      </c>
      <c r="B144" s="8">
        <f>IF(Number_of_Configured_Call_variables&gt;0,(Sum_of_all_Call_Variable_Values+Bytes_Per_Call_Variable_Value)*Percentage_of_Incoming_Straight_Calls*Calls_Per_Second*kbps*Bandwidth_Confidence_Factor_v91,0)</f>
        <v>4.6393043478260862</v>
      </c>
      <c r="C144" s="6" t="s">
        <v>7</v>
      </c>
      <c r="D144" s="32">
        <f t="shared" si="2"/>
        <v>6.6762688137520009E-4</v>
      </c>
      <c r="G144" s="74"/>
      <c r="H144" s="74"/>
    </row>
    <row r="145" spans="1:8" ht="12.75" customHeight="1" x14ac:dyDescent="0.25">
      <c r="A145" s="43" t="s">
        <v>105</v>
      </c>
      <c r="B145" s="8">
        <f>IF(Number_of_Configured_Call_variables&gt;0,(Sum_of_all_Call_Variable_Values+Bytes_Per_Call_Variable_Value)*Percentage_of_Outgoing_Straight_Calls*Calls_Per_Second*kbps*Bandwidth_Confidence_Factor_v91,0)</f>
        <v>4.6393043478260862</v>
      </c>
      <c r="C145" s="6" t="s">
        <v>7</v>
      </c>
      <c r="D145" s="32">
        <f t="shared" si="2"/>
        <v>6.6762688137520009E-4</v>
      </c>
      <c r="G145" s="74"/>
      <c r="H145" s="74"/>
    </row>
    <row r="146" spans="1:8" ht="12.75" customHeight="1" x14ac:dyDescent="0.25">
      <c r="A146" s="43" t="s">
        <v>106</v>
      </c>
      <c r="B146" s="8">
        <f>IF(Number_of_Configured_Call_variables&gt;0,(Sum_of_all_Call_Variable_Values+Bytes_Per_Call_Variable_Value)*Percentage_of_Consultative_Conference_Calls*Calls_Per_Second*kbps*Bandwidth_Confidence_Factor_v91,0)</f>
        <v>1.5464347826086957</v>
      </c>
      <c r="C146" s="6" t="s">
        <v>7</v>
      </c>
      <c r="D146" s="32">
        <f t="shared" si="2"/>
        <v>2.2254229379173343E-4</v>
      </c>
      <c r="G146" s="74"/>
      <c r="H146" s="74"/>
    </row>
    <row r="147" spans="1:8" ht="12.75" customHeight="1" x14ac:dyDescent="0.25">
      <c r="A147" s="43" t="s">
        <v>107</v>
      </c>
      <c r="B147" s="8">
        <f>IF(Number_of_Configured_Call_variables&gt;0,(Sum_of_all_Call_Variable_Values+Bytes_Per_Call_Variable_Value)*Percentage_of_Consultative_Transfer_Calls*Calls_Per_Second*kbps*Bandwidth_Confidence_Factor_v91,0)</f>
        <v>1.5464347826086957</v>
      </c>
      <c r="C147" s="6" t="s">
        <v>7</v>
      </c>
      <c r="D147" s="32">
        <f t="shared" si="2"/>
        <v>2.2254229379173343E-4</v>
      </c>
      <c r="G147" s="74"/>
      <c r="H147" s="74"/>
    </row>
    <row r="148" spans="1:8" ht="12.75" customHeight="1" x14ac:dyDescent="0.25">
      <c r="A148" s="203" t="s">
        <v>205</v>
      </c>
      <c r="B148" s="204">
        <f>((Tasks_Per_Second*Percentage_of_Incoming_Straight_Tasks) * 'BW Data'!F34) * kbps * Bandwidth_Confidence_Factor</f>
        <v>1.4929777777777778E-2</v>
      </c>
      <c r="C148" s="200" t="s">
        <v>7</v>
      </c>
      <c r="D148" s="205">
        <f>IF(B$114&gt;0,B148/B$114,0)</f>
        <v>6.751019917268553E-7</v>
      </c>
      <c r="G148" s="74"/>
      <c r="H148" s="74"/>
    </row>
    <row r="149" spans="1:8" ht="12.75" customHeight="1" x14ac:dyDescent="0.25">
      <c r="A149" s="206" t="s">
        <v>206</v>
      </c>
      <c r="B149" s="207">
        <f>((Tasks_Per_Second*Percentage_of_Transferred_Tasks)*'BW Data'!F35*kbps*Bandwidth_Confidence_Factor)</f>
        <v>3.4725888888888889E-2</v>
      </c>
      <c r="C149" s="208" t="s">
        <v>7</v>
      </c>
      <c r="D149" s="209">
        <f>IF(B$114&gt;0,B149/B$114,0)</f>
        <v>1.5702522235976519E-6</v>
      </c>
      <c r="G149" s="74"/>
      <c r="H149" s="74"/>
    </row>
    <row r="150" spans="1:8" ht="12.75" customHeight="1" x14ac:dyDescent="0.25">
      <c r="A150" s="203" t="s">
        <v>207</v>
      </c>
      <c r="B150" s="204">
        <f>((Tasks_Per_Second * Percentage_of_Interrupted_Tasks) * 'BW Data'!F38) * kbps * Bandwidth_Confidence_Factor</f>
        <v>5.1243111111111114E-2</v>
      </c>
      <c r="C150" s="200" t="s">
        <v>7</v>
      </c>
      <c r="D150" s="205">
        <f>IF(B$114&gt;0,B150/B$114,0)</f>
        <v>2.3171360544216254E-6</v>
      </c>
      <c r="G150" s="74"/>
      <c r="H150" s="74"/>
    </row>
    <row r="151" spans="1:8" ht="12.75" customHeight="1" x14ac:dyDescent="0.25">
      <c r="A151" s="203" t="s">
        <v>208</v>
      </c>
      <c r="B151" s="204">
        <f>(Tasks_Per_Second*Percentage_of_Paused_and_Resumed_Tasks)*('BW Data'!F36+'BW Data'!F37)*kbps*Bandwidth_Confidence_Factor</f>
        <v>1.7033466666666667E-2</v>
      </c>
      <c r="C151" s="200" t="s">
        <v>7</v>
      </c>
      <c r="D151" s="205">
        <f>IF(B$114&gt;0,B151/B$114,0)</f>
        <v>7.7022762453945135E-7</v>
      </c>
      <c r="G151" s="74"/>
      <c r="H151" s="74"/>
    </row>
    <row r="152" spans="1:8" ht="12.75" customHeight="1" thickBot="1" x14ac:dyDescent="0.3">
      <c r="A152" s="210" t="s">
        <v>211</v>
      </c>
      <c r="B152" s="204">
        <f>IF(Agent_Task_Wrap_Up_Time&gt;0,Tasks_Per_Second*'BW Data'!F39*kbps*Bandwidth_Confidence_Factor,0)</f>
        <v>0</v>
      </c>
      <c r="C152" s="211" t="s">
        <v>7</v>
      </c>
      <c r="D152" s="205">
        <f>IF(B$114&gt;0,B152/B$114,0)</f>
        <v>0</v>
      </c>
      <c r="G152" s="74"/>
      <c r="H152" s="74"/>
    </row>
    <row r="153" spans="1:8" ht="12.75" customHeight="1" thickBot="1" x14ac:dyDescent="0.3">
      <c r="A153" s="41" t="s">
        <v>61</v>
      </c>
      <c r="B153" s="39">
        <f>SUM(B134:B152)</f>
        <v>2410.3450626792269</v>
      </c>
      <c r="C153" s="40" t="s">
        <v>7</v>
      </c>
      <c r="D153" s="33">
        <f>IF(B$156&gt;0,B153/B$156,0)</f>
        <v>0.34686475311512976</v>
      </c>
      <c r="G153" s="74"/>
      <c r="H153" s="74"/>
    </row>
    <row r="154" spans="1:8" ht="12.75" customHeight="1" thickBot="1" x14ac:dyDescent="0.3">
      <c r="A154" s="41" t="s">
        <v>62</v>
      </c>
      <c r="B154" s="39">
        <f>SUM(B127:B132)</f>
        <v>3437.6027362318841</v>
      </c>
      <c r="C154" s="40" t="s">
        <v>7</v>
      </c>
      <c r="D154" s="33">
        <f>IF(B$156&gt;0,B154/B$156,0)</f>
        <v>0.49469399335113023</v>
      </c>
      <c r="G154" s="74"/>
      <c r="H154" s="74"/>
    </row>
    <row r="155" spans="1:8" ht="14.15" customHeight="1" thickBot="1" x14ac:dyDescent="0.35">
      <c r="A155" s="262" t="s">
        <v>251</v>
      </c>
      <c r="B155" s="39">
        <f>(B120*B119)</f>
        <v>1101</v>
      </c>
      <c r="C155" s="40" t="s">
        <v>7</v>
      </c>
      <c r="D155" s="33">
        <v>0</v>
      </c>
      <c r="G155" s="74"/>
      <c r="H155" s="74"/>
    </row>
    <row r="156" spans="1:8" s="18" customFormat="1" ht="16" customHeight="1" thickBot="1" x14ac:dyDescent="0.4">
      <c r="A156" s="49" t="s">
        <v>63</v>
      </c>
      <c r="B156" s="50">
        <f>SUM(B153:B155)</f>
        <v>6948.947798911111</v>
      </c>
      <c r="C156" s="51" t="s">
        <v>7</v>
      </c>
      <c r="D156" s="52">
        <f>SUM(D127:D147)</f>
        <v>0.84154177522861973</v>
      </c>
      <c r="G156" s="75"/>
      <c r="H156" s="75"/>
    </row>
    <row r="157" spans="1:8" ht="12.75" customHeight="1" thickBot="1" x14ac:dyDescent="0.3">
      <c r="A157" s="41" t="s">
        <v>93</v>
      </c>
      <c r="B157" s="39">
        <f>IF(Number_of_Agents&gt;0,SUM(MAX(B134, B140:B141, B144:B145), MAX(B136, B143, B147), MAX(B137, B142, B146), MAX(B138, B143, B147), MAX(B139) )/Calls_Per_Second,0)</f>
        <v>162.12040000000002</v>
      </c>
      <c r="C157" s="40" t="s">
        <v>7</v>
      </c>
      <c r="D157" s="33"/>
      <c r="G157" s="74"/>
      <c r="H157" s="74"/>
    </row>
    <row r="158" spans="1:8" ht="12.75" customHeight="1" thickBot="1" x14ac:dyDescent="0.3">
      <c r="A158" s="41" t="s">
        <v>94</v>
      </c>
      <c r="B158" s="39">
        <f>IF(Number_of_Supervisors&gt;0,SUM(B127:B128, SUM(MAX(B140:B147), MAX(B129:B139)))/Calls_Per_Second,0)</f>
        <v>261.9801831111111</v>
      </c>
      <c r="C158" s="40" t="s">
        <v>7</v>
      </c>
      <c r="D158" s="33"/>
      <c r="G158" s="74"/>
      <c r="H158" s="74"/>
    </row>
    <row r="159" spans="1:8" ht="12.75" customHeight="1" x14ac:dyDescent="0.25"/>
    <row r="160" spans="1:8" ht="12.75" customHeight="1" x14ac:dyDescent="0.25"/>
    <row r="161" spans="1:4" ht="12.75" customHeight="1" thickBot="1" x14ac:dyDescent="0.3">
      <c r="A161" s="270" t="s">
        <v>234</v>
      </c>
      <c r="B161" s="271"/>
      <c r="C161" s="271"/>
      <c r="D161" s="272"/>
    </row>
    <row r="162" spans="1:4" ht="12.75" customHeight="1" thickBot="1" x14ac:dyDescent="0.3">
      <c r="A162" s="240" t="s">
        <v>222</v>
      </c>
      <c r="B162" s="241">
        <v>5</v>
      </c>
      <c r="C162" s="242" t="s">
        <v>223</v>
      </c>
      <c r="D162" s="243"/>
    </row>
    <row r="163" spans="1:4" ht="12.75" customHeight="1" thickBot="1" x14ac:dyDescent="0.3">
      <c r="A163" s="240" t="s">
        <v>260</v>
      </c>
      <c r="B163" s="241">
        <v>3</v>
      </c>
      <c r="C163" s="242" t="s">
        <v>224</v>
      </c>
      <c r="D163" s="243"/>
    </row>
    <row r="164" spans="1:4" ht="12.75" customHeight="1" thickBot="1" x14ac:dyDescent="0.3">
      <c r="A164" s="240" t="s">
        <v>225</v>
      </c>
      <c r="B164" s="241">
        <v>100</v>
      </c>
      <c r="C164" s="242"/>
      <c r="D164" s="243"/>
    </row>
    <row r="165" spans="1:4" ht="12.75" customHeight="1" thickBot="1" x14ac:dyDescent="0.3">
      <c r="A165" s="240" t="s">
        <v>226</v>
      </c>
      <c r="B165" s="241">
        <v>50</v>
      </c>
      <c r="C165" s="242"/>
      <c r="D165" s="243"/>
    </row>
    <row r="166" spans="1:4" ht="12.75" customHeight="1" thickBot="1" x14ac:dyDescent="0.3">
      <c r="A166" s="240" t="s">
        <v>227</v>
      </c>
      <c r="B166" s="241">
        <v>0</v>
      </c>
      <c r="C166" s="242" t="s">
        <v>228</v>
      </c>
      <c r="D166" s="243"/>
    </row>
    <row r="167" spans="1:4" ht="12.75" customHeight="1" thickBot="1" x14ac:dyDescent="0.3">
      <c r="A167" s="240" t="s">
        <v>229</v>
      </c>
      <c r="B167" s="241">
        <v>2</v>
      </c>
      <c r="C167" s="244"/>
      <c r="D167" s="243"/>
    </row>
    <row r="168" spans="1:4" ht="44.15" customHeight="1" thickBot="1" x14ac:dyDescent="0.3">
      <c r="A168" s="240" t="s">
        <v>230</v>
      </c>
      <c r="B168" s="241">
        <v>1</v>
      </c>
      <c r="C168" s="244" t="s">
        <v>118</v>
      </c>
      <c r="D168" s="245" t="s">
        <v>233</v>
      </c>
    </row>
    <row r="169" spans="1:4" ht="12.75" customHeight="1" thickBot="1" x14ac:dyDescent="0.3">
      <c r="A169" s="240" t="s">
        <v>231</v>
      </c>
      <c r="B169" s="241">
        <v>1983</v>
      </c>
      <c r="C169" s="244" t="s">
        <v>126</v>
      </c>
      <c r="D169" s="243"/>
    </row>
    <row r="170" spans="1:4" ht="12.75" customHeight="1" thickBot="1" x14ac:dyDescent="0.3">
      <c r="A170" s="240" t="s">
        <v>232</v>
      </c>
      <c r="B170" s="241">
        <v>1000</v>
      </c>
      <c r="C170" s="242"/>
      <c r="D170" s="243"/>
    </row>
    <row r="171" spans="1:4" ht="12.75" customHeight="1" thickBot="1" x14ac:dyDescent="0.3"/>
    <row r="172" spans="1:4" ht="18.649999999999999" customHeight="1" thickBot="1" x14ac:dyDescent="0.45">
      <c r="A172" s="253" t="s">
        <v>238</v>
      </c>
      <c r="B172" s="253"/>
      <c r="C172" s="253"/>
      <c r="D172" s="254"/>
    </row>
    <row r="173" spans="1:4" ht="12.75" customHeight="1" thickBot="1" x14ac:dyDescent="0.3">
      <c r="A173" s="293" t="s">
        <v>81</v>
      </c>
      <c r="B173" s="294"/>
      <c r="C173" s="294"/>
      <c r="D173" s="295"/>
    </row>
    <row r="174" spans="1:4" ht="12.75" hidden="1" customHeight="1" thickBot="1" x14ac:dyDescent="0.3">
      <c r="A174" s="246" t="s">
        <v>235</v>
      </c>
      <c r="B174" s="246">
        <f>((((B162/60*60)* B170* 'BW Data'!E28) +
 (((B163/60)*B164)*B170* 'BW Data'!E29) +
 ((B165*(B167/(60*60))) *B170* 'BW Data'!E30) +
 ((B166/60*60) *B170* (('BW Data'!E31))))/1024) * 'BW Data'!E55+B176</f>
        <v>56378.452175564234</v>
      </c>
      <c r="C174" s="242" t="s">
        <v>7</v>
      </c>
      <c r="D174" s="242"/>
    </row>
    <row r="175" spans="1:4" ht="12.75" customHeight="1" thickBot="1" x14ac:dyDescent="0.3">
      <c r="A175" s="246" t="s">
        <v>236</v>
      </c>
      <c r="B175" s="246">
        <f>(B174*(0.02)+B174)</f>
        <v>57506.021219075519</v>
      </c>
      <c r="C175" s="242" t="s">
        <v>7</v>
      </c>
      <c r="D175" s="242"/>
    </row>
    <row r="176" spans="1:4" ht="12.75" customHeight="1" thickBot="1" x14ac:dyDescent="0.3">
      <c r="A176" s="247" t="s">
        <v>237</v>
      </c>
      <c r="B176" s="247">
        <f>(1280/(1024*30))</f>
        <v>4.1666666666666664E-2</v>
      </c>
      <c r="C176" s="252" t="s">
        <v>7</v>
      </c>
      <c r="D176" s="248"/>
    </row>
    <row r="177" spans="1:4" ht="16.5" customHeight="1" thickBot="1" x14ac:dyDescent="0.4">
      <c r="A177" s="249" t="s">
        <v>63</v>
      </c>
      <c r="B177" s="250">
        <f>B175</f>
        <v>57506.021219075519</v>
      </c>
      <c r="C177" s="252" t="s">
        <v>7</v>
      </c>
      <c r="D177" s="248"/>
    </row>
    <row r="178" spans="1:4" ht="12.75" customHeight="1" thickBot="1" x14ac:dyDescent="0.3">
      <c r="A178" s="247" t="s">
        <v>93</v>
      </c>
      <c r="B178" s="251">
        <f>IF(B170&gt;0,B177/B170,0)</f>
        <v>57.506021219075521</v>
      </c>
      <c r="C178" s="248" t="s">
        <v>7</v>
      </c>
      <c r="D178" s="248"/>
    </row>
    <row r="179" spans="1:4" ht="12.75" customHeight="1" x14ac:dyDescent="0.25"/>
    <row r="180" spans="1:4" ht="33" customHeight="1" x14ac:dyDescent="0.25">
      <c r="A180" s="300" t="s">
        <v>261</v>
      </c>
      <c r="B180" s="301"/>
      <c r="C180" s="301"/>
      <c r="D180" s="302"/>
    </row>
    <row r="181" spans="1:4" ht="15.65" customHeight="1" x14ac:dyDescent="0.35">
      <c r="A181" s="264" t="s">
        <v>253</v>
      </c>
    </row>
    <row r="182" spans="1:4" ht="12.75" customHeight="1" x14ac:dyDescent="0.25"/>
    <row r="183" spans="1:4" ht="58" customHeight="1" x14ac:dyDescent="0.25">
      <c r="A183" s="296" t="s">
        <v>249</v>
      </c>
      <c r="B183" s="297"/>
      <c r="C183" s="298"/>
      <c r="D183" s="299"/>
    </row>
    <row r="184" spans="1:4" ht="12.75" customHeight="1" x14ac:dyDescent="0.25">
      <c r="A184" s="292"/>
      <c r="B184" s="292"/>
      <c r="C184" s="266"/>
      <c r="D184" s="266"/>
    </row>
  </sheetData>
  <mergeCells count="27">
    <mergeCell ref="A92:D92"/>
    <mergeCell ref="A184:B184"/>
    <mergeCell ref="C184:D184"/>
    <mergeCell ref="A125:D125"/>
    <mergeCell ref="A126:D126"/>
    <mergeCell ref="A133:D133"/>
    <mergeCell ref="A161:D161"/>
    <mergeCell ref="A173:D173"/>
    <mergeCell ref="A183:D183"/>
    <mergeCell ref="A180:D180"/>
    <mergeCell ref="A118:D118"/>
    <mergeCell ref="A78:D78"/>
    <mergeCell ref="A86:D86"/>
    <mergeCell ref="A8:D8"/>
    <mergeCell ref="A19:D19"/>
    <mergeCell ref="A29:D29"/>
    <mergeCell ref="D30:D31"/>
    <mergeCell ref="D32:D33"/>
    <mergeCell ref="A46:D46"/>
    <mergeCell ref="A49:D49"/>
    <mergeCell ref="A52:D52"/>
    <mergeCell ref="A56:D56"/>
    <mergeCell ref="A60:D60"/>
    <mergeCell ref="A85:D85"/>
    <mergeCell ref="A24:D24"/>
    <mergeCell ref="A40:D40"/>
    <mergeCell ref="D41:D42"/>
  </mergeCells>
  <conditionalFormatting sqref="B36">
    <cfRule type="cellIs" dxfId="3" priority="3" stopIfTrue="1" operator="equal">
      <formula>1</formula>
    </cfRule>
    <cfRule type="cellIs" dxfId="2" priority="4" stopIfTrue="1" operator="notEqual">
      <formula>1</formula>
    </cfRule>
  </conditionalFormatting>
  <conditionalFormatting sqref="B45">
    <cfRule type="cellIs" dxfId="1" priority="1" stopIfTrue="1" operator="equal">
      <formula>1</formula>
    </cfRule>
    <cfRule type="cellIs" dxfId="0" priority="2" stopIfTrue="1" operator="notEqual">
      <formula>1</formula>
    </cfRule>
  </conditionalFormatting>
  <hyperlinks>
    <hyperlink ref="A181" r:id="rId1" location="reference_CFFA527AF8FC70C96190C86F40C5CB97"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5"/>
  <sheetViews>
    <sheetView topLeftCell="A59" zoomScaleNormal="100" zoomScalePageLayoutView="130" workbookViewId="0">
      <selection activeCell="E68" sqref="E68"/>
    </sheetView>
  </sheetViews>
  <sheetFormatPr defaultColWidth="8.81640625" defaultRowHeight="12.5" x14ac:dyDescent="0.25"/>
  <cols>
    <col min="1" max="1" width="58.1796875" customWidth="1"/>
    <col min="2" max="4" width="18.54296875" hidden="1" customWidth="1"/>
    <col min="5" max="6" width="18.54296875" customWidth="1"/>
    <col min="7" max="7" width="10.81640625" customWidth="1"/>
    <col min="8" max="8" width="12.453125" customWidth="1"/>
  </cols>
  <sheetData>
    <row r="1" spans="1:9" ht="13.5" thickBot="1" x14ac:dyDescent="0.35">
      <c r="A1" s="1"/>
    </row>
    <row r="2" spans="1:9" ht="13" x14ac:dyDescent="0.3">
      <c r="A2" s="309" t="s">
        <v>89</v>
      </c>
      <c r="B2" s="115"/>
      <c r="C2" s="115"/>
      <c r="D2" s="115"/>
      <c r="E2" s="115"/>
      <c r="F2" s="115"/>
      <c r="G2" s="115"/>
      <c r="H2" s="116"/>
    </row>
    <row r="3" spans="1:9" ht="26" x14ac:dyDescent="0.3">
      <c r="A3" s="310"/>
      <c r="B3" s="73" t="s">
        <v>130</v>
      </c>
      <c r="C3" s="73" t="s">
        <v>131</v>
      </c>
      <c r="D3" s="73" t="s">
        <v>132</v>
      </c>
      <c r="E3" s="73" t="s">
        <v>245</v>
      </c>
      <c r="F3" s="73" t="s">
        <v>246</v>
      </c>
      <c r="G3" s="73" t="s">
        <v>247</v>
      </c>
      <c r="H3" s="117" t="s">
        <v>11</v>
      </c>
    </row>
    <row r="4" spans="1:9" ht="13" x14ac:dyDescent="0.3">
      <c r="A4" s="118" t="s">
        <v>117</v>
      </c>
      <c r="B4" s="114"/>
      <c r="C4" s="129"/>
      <c r="D4" s="129"/>
      <c r="E4" s="129"/>
      <c r="F4" s="129"/>
      <c r="G4" s="129"/>
      <c r="H4" s="230"/>
    </row>
    <row r="5" spans="1:9" x14ac:dyDescent="0.25">
      <c r="A5" s="121" t="s">
        <v>157</v>
      </c>
      <c r="B5" s="225">
        <f>2.8 *1024 * 1024</f>
        <v>2936012.7999999998</v>
      </c>
      <c r="C5" s="226"/>
      <c r="D5" s="227">
        <f>1680+1380</f>
        <v>3060</v>
      </c>
      <c r="E5" s="231">
        <f>(1024*3244)</f>
        <v>3321856</v>
      </c>
      <c r="F5" s="231">
        <f>(2830+3295)</f>
        <v>6125</v>
      </c>
      <c r="G5" s="231" t="s">
        <v>141</v>
      </c>
      <c r="H5" s="158" t="s">
        <v>126</v>
      </c>
      <c r="I5" s="4"/>
    </row>
    <row r="6" spans="1:9" x14ac:dyDescent="0.25">
      <c r="A6" s="121" t="s">
        <v>158</v>
      </c>
      <c r="B6" s="225">
        <f>0.8 *1024 * 1024</f>
        <v>838860.80000000005</v>
      </c>
      <c r="C6" s="226"/>
      <c r="D6" s="227" t="s">
        <v>141</v>
      </c>
      <c r="E6" s="155">
        <f>(1024*1868)</f>
        <v>1912832</v>
      </c>
      <c r="F6" s="155">
        <f>(996+2608)</f>
        <v>3604</v>
      </c>
      <c r="G6" s="155" t="s">
        <v>141</v>
      </c>
      <c r="H6" s="166" t="s">
        <v>126</v>
      </c>
      <c r="I6" s="4"/>
    </row>
    <row r="7" spans="1:9" x14ac:dyDescent="0.25">
      <c r="A7" s="121" t="s">
        <v>159</v>
      </c>
      <c r="B7" s="225">
        <f>5.2 *1024 * 1024</f>
        <v>5452595.2000000002</v>
      </c>
      <c r="C7" s="226"/>
      <c r="D7" s="226">
        <f>1338+802</f>
        <v>2140</v>
      </c>
      <c r="E7" s="155">
        <f>(1024*3993)</f>
        <v>4088832</v>
      </c>
      <c r="F7" s="155">
        <f>(997+1750)</f>
        <v>2747</v>
      </c>
      <c r="G7" s="155" t="s">
        <v>141</v>
      </c>
      <c r="H7" s="166" t="s">
        <v>126</v>
      </c>
      <c r="I7" s="4"/>
    </row>
    <row r="8" spans="1:9" x14ac:dyDescent="0.25">
      <c r="A8" s="121" t="s">
        <v>160</v>
      </c>
      <c r="B8" s="225">
        <f>2.8 *1024 * 1024</f>
        <v>2936012.7999999998</v>
      </c>
      <c r="C8" s="226"/>
      <c r="D8" s="227" t="s">
        <v>141</v>
      </c>
      <c r="E8" s="155">
        <f>(1024*3024)</f>
        <v>3096576</v>
      </c>
      <c r="F8" s="155">
        <f>(721+1750)</f>
        <v>2471</v>
      </c>
      <c r="G8" s="155" t="s">
        <v>141</v>
      </c>
      <c r="H8" s="166" t="s">
        <v>126</v>
      </c>
      <c r="I8" s="4"/>
    </row>
    <row r="9" spans="1:9" x14ac:dyDescent="0.25">
      <c r="A9" s="212" t="s">
        <v>161</v>
      </c>
      <c r="B9" s="72">
        <f>2.8 *1024 * 1024</f>
        <v>2936012.7999999998</v>
      </c>
      <c r="C9" s="143"/>
      <c r="D9" s="136">
        <f>1680+1380</f>
        <v>3060</v>
      </c>
      <c r="E9" s="155">
        <f>(1024*(3055+83))</f>
        <v>3213312</v>
      </c>
      <c r="F9" s="155">
        <f>(666+3295)</f>
        <v>3961</v>
      </c>
      <c r="G9" s="157" t="s">
        <v>141</v>
      </c>
      <c r="H9" s="166" t="s">
        <v>126</v>
      </c>
      <c r="I9" s="4"/>
    </row>
    <row r="10" spans="1:9" x14ac:dyDescent="0.25">
      <c r="A10" s="213" t="s">
        <v>162</v>
      </c>
      <c r="B10" s="72">
        <f>0.8 *1024 * 1024</f>
        <v>838860.80000000005</v>
      </c>
      <c r="C10" s="143"/>
      <c r="D10" s="136" t="s">
        <v>141</v>
      </c>
      <c r="E10" s="155">
        <f>(1024*870)</f>
        <v>890880</v>
      </c>
      <c r="F10" s="155">
        <f>(2387+720)</f>
        <v>3107</v>
      </c>
      <c r="G10" s="157" t="s">
        <v>141</v>
      </c>
      <c r="H10" s="166" t="s">
        <v>126</v>
      </c>
      <c r="I10" s="4"/>
    </row>
    <row r="11" spans="1:9" x14ac:dyDescent="0.25">
      <c r="A11" s="212" t="s">
        <v>163</v>
      </c>
      <c r="B11" s="72">
        <f>5.2 *1024 * 1024</f>
        <v>5452595.2000000002</v>
      </c>
      <c r="C11" s="143"/>
      <c r="D11" s="130">
        <f>1338+802</f>
        <v>2140</v>
      </c>
      <c r="E11" s="156">
        <f>(1024*4135)</f>
        <v>4234240</v>
      </c>
      <c r="F11" s="155">
        <f>(1751+712)</f>
        <v>2463</v>
      </c>
      <c r="G11" s="157" t="s">
        <v>141</v>
      </c>
      <c r="H11" s="166" t="s">
        <v>126</v>
      </c>
      <c r="I11" s="4"/>
    </row>
    <row r="12" spans="1:9" x14ac:dyDescent="0.25">
      <c r="A12" s="214" t="s">
        <v>164</v>
      </c>
      <c r="B12" s="177">
        <f>2.8 *1024 * 1024</f>
        <v>2936012.7999999998</v>
      </c>
      <c r="C12" s="178"/>
      <c r="D12" s="179" t="s">
        <v>141</v>
      </c>
      <c r="E12" s="180">
        <f>(1024*1174)</f>
        <v>1202176</v>
      </c>
      <c r="F12" s="155">
        <f>(1529+276)</f>
        <v>1805</v>
      </c>
      <c r="G12" s="181" t="s">
        <v>141</v>
      </c>
      <c r="H12" s="182" t="s">
        <v>126</v>
      </c>
      <c r="I12" s="4"/>
    </row>
    <row r="13" spans="1:9" x14ac:dyDescent="0.25">
      <c r="A13" s="215" t="s">
        <v>212</v>
      </c>
      <c r="B13" s="5"/>
      <c r="C13" s="147"/>
      <c r="D13" s="135"/>
      <c r="E13" s="183">
        <v>3214</v>
      </c>
      <c r="F13" s="155">
        <v>885</v>
      </c>
      <c r="G13" s="184" t="s">
        <v>141</v>
      </c>
      <c r="H13" s="184" t="s">
        <v>126</v>
      </c>
    </row>
    <row r="14" spans="1:9" x14ac:dyDescent="0.25">
      <c r="A14" s="215" t="s">
        <v>213</v>
      </c>
      <c r="B14" s="5"/>
      <c r="C14" s="147"/>
      <c r="D14" s="135"/>
      <c r="E14" s="183">
        <v>3160</v>
      </c>
      <c r="F14" s="155">
        <v>885</v>
      </c>
      <c r="G14" s="184" t="s">
        <v>141</v>
      </c>
      <c r="H14" s="184" t="s">
        <v>126</v>
      </c>
    </row>
    <row r="15" spans="1:9" x14ac:dyDescent="0.25">
      <c r="A15" s="215" t="s">
        <v>214</v>
      </c>
      <c r="B15" s="5"/>
      <c r="C15" s="147"/>
      <c r="D15" s="135"/>
      <c r="E15" s="183">
        <v>6191</v>
      </c>
      <c r="F15" s="155">
        <v>568</v>
      </c>
      <c r="G15" s="184" t="s">
        <v>141</v>
      </c>
      <c r="H15" s="184" t="s">
        <v>126</v>
      </c>
    </row>
    <row r="16" spans="1:9" x14ac:dyDescent="0.25">
      <c r="A16" s="215" t="s">
        <v>215</v>
      </c>
      <c r="B16" s="5"/>
      <c r="C16" s="147"/>
      <c r="D16" s="135"/>
      <c r="E16" s="183">
        <v>3200</v>
      </c>
      <c r="F16" s="155">
        <v>568</v>
      </c>
      <c r="G16" s="184" t="s">
        <v>141</v>
      </c>
      <c r="H16" s="184" t="s">
        <v>126</v>
      </c>
    </row>
    <row r="17" spans="1:8" ht="13" x14ac:dyDescent="0.3">
      <c r="A17" s="313" t="s">
        <v>88</v>
      </c>
      <c r="B17" s="314"/>
      <c r="C17" s="144"/>
      <c r="D17" s="131"/>
      <c r="E17" s="131"/>
      <c r="F17" s="163"/>
      <c r="G17" s="163"/>
      <c r="H17" s="167"/>
    </row>
    <row r="18" spans="1:8" x14ac:dyDescent="0.25">
      <c r="A18" s="120" t="s">
        <v>128</v>
      </c>
      <c r="B18" s="72">
        <v>1275</v>
      </c>
      <c r="C18" s="143"/>
      <c r="D18" s="136" t="s">
        <v>141</v>
      </c>
      <c r="E18" s="152"/>
      <c r="F18" s="157" t="s">
        <v>141</v>
      </c>
      <c r="G18" s="157" t="s">
        <v>141</v>
      </c>
      <c r="H18" s="166" t="s">
        <v>126</v>
      </c>
    </row>
    <row r="19" spans="1:8" x14ac:dyDescent="0.25">
      <c r="A19" s="119" t="s">
        <v>90</v>
      </c>
      <c r="B19" s="5">
        <v>790</v>
      </c>
      <c r="C19" s="143"/>
      <c r="D19" s="130">
        <v>737</v>
      </c>
      <c r="E19" s="153">
        <v>1536</v>
      </c>
      <c r="F19" s="159">
        <v>717</v>
      </c>
      <c r="G19" s="157" t="s">
        <v>141</v>
      </c>
      <c r="H19" s="166" t="s">
        <v>126</v>
      </c>
    </row>
    <row r="20" spans="1:8" ht="13" x14ac:dyDescent="0.3">
      <c r="A20" s="311" t="s">
        <v>14</v>
      </c>
      <c r="B20" s="312"/>
      <c r="C20" s="145"/>
      <c r="D20" s="132"/>
      <c r="E20" s="132"/>
      <c r="F20" s="164"/>
      <c r="G20" s="164"/>
      <c r="H20" s="167"/>
    </row>
    <row r="21" spans="1:8" x14ac:dyDescent="0.25">
      <c r="A21" s="121" t="s">
        <v>15</v>
      </c>
      <c r="B21" s="5">
        <v>25020</v>
      </c>
      <c r="C21" s="143"/>
      <c r="D21" s="130">
        <v>3259</v>
      </c>
      <c r="E21" s="156">
        <f>(1024*29)</f>
        <v>29696</v>
      </c>
      <c r="F21" s="155">
        <f>(414+7333)</f>
        <v>7747</v>
      </c>
      <c r="G21" s="157" t="s">
        <v>141</v>
      </c>
      <c r="H21" s="166" t="s">
        <v>126</v>
      </c>
    </row>
    <row r="22" spans="1:8" x14ac:dyDescent="0.25">
      <c r="A22" s="121" t="s">
        <v>16</v>
      </c>
      <c r="B22" s="5">
        <v>38785</v>
      </c>
      <c r="C22" s="143"/>
      <c r="D22" s="130">
        <v>3387</v>
      </c>
      <c r="E22" s="156">
        <f>(1024*47)</f>
        <v>48128</v>
      </c>
      <c r="F22" s="155">
        <f>(8862+414)</f>
        <v>9276</v>
      </c>
      <c r="G22" s="157" t="s">
        <v>141</v>
      </c>
      <c r="H22" s="166" t="s">
        <v>126</v>
      </c>
    </row>
    <row r="23" spans="1:8" x14ac:dyDescent="0.25">
      <c r="A23" s="121" t="s">
        <v>17</v>
      </c>
      <c r="B23" s="5">
        <v>64177</v>
      </c>
      <c r="C23" s="143"/>
      <c r="D23" s="130">
        <v>5606</v>
      </c>
      <c r="E23" s="156">
        <f>(1024*180)</f>
        <v>184320</v>
      </c>
      <c r="F23" s="155">
        <f>(1024*13)+828</f>
        <v>14140</v>
      </c>
      <c r="G23" s="157" t="s">
        <v>141</v>
      </c>
      <c r="H23" s="166" t="s">
        <v>126</v>
      </c>
    </row>
    <row r="24" spans="1:8" x14ac:dyDescent="0.25">
      <c r="A24" s="121" t="s">
        <v>18</v>
      </c>
      <c r="B24" s="5">
        <v>79757</v>
      </c>
      <c r="C24" s="143"/>
      <c r="D24" s="130">
        <v>6236</v>
      </c>
      <c r="E24" s="156">
        <f>(1024*97)</f>
        <v>99328</v>
      </c>
      <c r="F24" s="155">
        <f>(1024*13)+690</f>
        <v>14002</v>
      </c>
      <c r="G24" s="157" t="s">
        <v>141</v>
      </c>
      <c r="H24" s="166" t="s">
        <v>126</v>
      </c>
    </row>
    <row r="25" spans="1:8" x14ac:dyDescent="0.25">
      <c r="A25" s="119" t="s">
        <v>133</v>
      </c>
      <c r="B25" s="5"/>
      <c r="C25" s="143"/>
      <c r="D25" s="130">
        <v>6601</v>
      </c>
      <c r="E25" s="156">
        <f>(1024*80)</f>
        <v>81920</v>
      </c>
      <c r="F25" s="155">
        <f>(1024*12)+414</f>
        <v>12702</v>
      </c>
      <c r="G25" s="157" t="s">
        <v>141</v>
      </c>
      <c r="H25" s="166" t="s">
        <v>126</v>
      </c>
    </row>
    <row r="26" spans="1:8" x14ac:dyDescent="0.25">
      <c r="A26" s="119" t="s">
        <v>91</v>
      </c>
      <c r="B26" s="5">
        <v>17213</v>
      </c>
      <c r="C26" s="143"/>
      <c r="D26" s="130">
        <v>455</v>
      </c>
      <c r="E26" s="156">
        <f>(1024*50)</f>
        <v>51200</v>
      </c>
      <c r="F26" s="155">
        <f>(4713+414)</f>
        <v>5127</v>
      </c>
      <c r="G26" s="159" t="s">
        <v>141</v>
      </c>
      <c r="H26" s="166" t="s">
        <v>126</v>
      </c>
    </row>
    <row r="27" spans="1:8" ht="13" x14ac:dyDescent="0.3">
      <c r="A27" s="311" t="s">
        <v>216</v>
      </c>
      <c r="B27" s="312"/>
      <c r="C27" s="145"/>
      <c r="D27" s="132"/>
      <c r="E27" s="132"/>
      <c r="F27" s="132"/>
      <c r="G27" s="132"/>
      <c r="H27" s="236"/>
    </row>
    <row r="28" spans="1:8" x14ac:dyDescent="0.25">
      <c r="A28" s="119" t="s">
        <v>217</v>
      </c>
      <c r="B28" s="5">
        <v>25020</v>
      </c>
      <c r="C28" s="143"/>
      <c r="D28" s="130">
        <v>3259</v>
      </c>
      <c r="E28" s="237">
        <v>5993</v>
      </c>
      <c r="F28" s="237" t="s">
        <v>218</v>
      </c>
      <c r="G28" s="237" t="s">
        <v>218</v>
      </c>
      <c r="H28" s="166" t="s">
        <v>126</v>
      </c>
    </row>
    <row r="29" spans="1:8" x14ac:dyDescent="0.25">
      <c r="A29" s="119" t="s">
        <v>219</v>
      </c>
      <c r="B29" s="5">
        <v>25020</v>
      </c>
      <c r="C29" s="143"/>
      <c r="D29" s="130">
        <v>3259</v>
      </c>
      <c r="E29" s="237">
        <v>2882</v>
      </c>
      <c r="F29" s="237" t="s">
        <v>218</v>
      </c>
      <c r="G29" s="237" t="s">
        <v>218</v>
      </c>
      <c r="H29" s="166" t="s">
        <v>126</v>
      </c>
    </row>
    <row r="30" spans="1:8" x14ac:dyDescent="0.25">
      <c r="A30" s="119" t="s">
        <v>220</v>
      </c>
      <c r="B30" s="5">
        <v>25020</v>
      </c>
      <c r="C30" s="143"/>
      <c r="D30" s="130">
        <v>3259</v>
      </c>
      <c r="E30" s="237">
        <f>(4873/4)</f>
        <v>1218.25</v>
      </c>
      <c r="F30" s="237" t="s">
        <v>218</v>
      </c>
      <c r="G30" s="237" t="s">
        <v>218</v>
      </c>
      <c r="H30" s="166" t="s">
        <v>126</v>
      </c>
    </row>
    <row r="31" spans="1:8" x14ac:dyDescent="0.25">
      <c r="A31" s="119" t="s">
        <v>221</v>
      </c>
      <c r="B31" s="5">
        <v>25020</v>
      </c>
      <c r="C31" s="143"/>
      <c r="D31" s="130">
        <v>3259</v>
      </c>
      <c r="E31" s="237">
        <f>((1837*1024)/25)</f>
        <v>75243.520000000004</v>
      </c>
      <c r="F31" s="237" t="s">
        <v>218</v>
      </c>
      <c r="G31" s="237" t="s">
        <v>218</v>
      </c>
      <c r="H31" s="166" t="s">
        <v>126</v>
      </c>
    </row>
    <row r="32" spans="1:8" x14ac:dyDescent="0.25">
      <c r="A32" s="232"/>
      <c r="B32" s="233"/>
      <c r="C32" s="234"/>
      <c r="D32" s="235"/>
      <c r="E32" s="238"/>
      <c r="F32" s="238"/>
      <c r="G32" s="238"/>
      <c r="H32" s="239"/>
    </row>
    <row r="33" spans="1:8" ht="13" x14ac:dyDescent="0.3">
      <c r="A33" s="311" t="s">
        <v>165</v>
      </c>
      <c r="B33" s="312"/>
      <c r="C33" s="145"/>
      <c r="D33" s="132"/>
      <c r="E33" s="132"/>
      <c r="F33" s="164"/>
      <c r="G33" s="164"/>
      <c r="H33" s="167"/>
    </row>
    <row r="34" spans="1:8" x14ac:dyDescent="0.25">
      <c r="A34" s="216" t="s">
        <v>166</v>
      </c>
      <c r="B34" s="5">
        <v>25020</v>
      </c>
      <c r="C34" s="143"/>
      <c r="D34" s="130">
        <v>3259</v>
      </c>
      <c r="E34" s="156">
        <v>13416</v>
      </c>
      <c r="F34" s="159">
        <v>2584</v>
      </c>
      <c r="G34" s="159" t="s">
        <v>141</v>
      </c>
      <c r="H34" s="166" t="s">
        <v>126</v>
      </c>
    </row>
    <row r="35" spans="1:8" x14ac:dyDescent="0.25">
      <c r="A35" s="216" t="s">
        <v>209</v>
      </c>
      <c r="B35" s="5">
        <v>64177</v>
      </c>
      <c r="C35" s="143"/>
      <c r="D35" s="130">
        <v>5606</v>
      </c>
      <c r="E35" s="156">
        <v>18782</v>
      </c>
      <c r="F35" s="159">
        <v>4145</v>
      </c>
      <c r="G35" s="157" t="s">
        <v>141</v>
      </c>
      <c r="H35" s="166" t="s">
        <v>126</v>
      </c>
    </row>
    <row r="36" spans="1:8" x14ac:dyDescent="0.25">
      <c r="A36" s="216" t="s">
        <v>167</v>
      </c>
      <c r="B36" s="5">
        <v>79757</v>
      </c>
      <c r="C36" s="143"/>
      <c r="D36" s="130">
        <v>6236</v>
      </c>
      <c r="E36" s="156">
        <v>6724</v>
      </c>
      <c r="F36" s="159">
        <v>840</v>
      </c>
      <c r="G36" s="157" t="s">
        <v>141</v>
      </c>
      <c r="H36" s="166" t="s">
        <v>126</v>
      </c>
    </row>
    <row r="37" spans="1:8" x14ac:dyDescent="0.25">
      <c r="A37" s="213" t="s">
        <v>168</v>
      </c>
      <c r="B37" s="5"/>
      <c r="C37" s="143"/>
      <c r="D37" s="130">
        <v>6601</v>
      </c>
      <c r="E37" s="156">
        <v>6426</v>
      </c>
      <c r="F37" s="159">
        <v>1062</v>
      </c>
      <c r="G37" s="157" t="s">
        <v>141</v>
      </c>
      <c r="H37" s="166" t="s">
        <v>126</v>
      </c>
    </row>
    <row r="38" spans="1:8" x14ac:dyDescent="0.25">
      <c r="A38" s="213" t="s">
        <v>210</v>
      </c>
      <c r="B38" s="5"/>
      <c r="C38" s="143"/>
      <c r="D38" s="130"/>
      <c r="E38" s="156">
        <v>73474</v>
      </c>
      <c r="F38" s="159">
        <v>8869</v>
      </c>
      <c r="G38" s="157" t="s">
        <v>141</v>
      </c>
      <c r="H38" s="166" t="s">
        <v>126</v>
      </c>
    </row>
    <row r="39" spans="1:8" x14ac:dyDescent="0.25">
      <c r="A39" s="217" t="s">
        <v>91</v>
      </c>
      <c r="B39" s="5">
        <v>17213</v>
      </c>
      <c r="C39" s="143"/>
      <c r="D39" s="130">
        <v>455</v>
      </c>
      <c r="E39" s="156">
        <v>7538</v>
      </c>
      <c r="F39" s="159">
        <v>1062</v>
      </c>
      <c r="G39" s="159" t="s">
        <v>141</v>
      </c>
      <c r="H39" s="166" t="s">
        <v>126</v>
      </c>
    </row>
    <row r="40" spans="1:8" ht="13" x14ac:dyDescent="0.3">
      <c r="A40" s="311" t="s">
        <v>21</v>
      </c>
      <c r="B40" s="312"/>
      <c r="C40" s="145"/>
      <c r="D40" s="132"/>
      <c r="E40" s="132"/>
      <c r="F40" s="164"/>
      <c r="G40" s="164"/>
      <c r="H40" s="167"/>
    </row>
    <row r="41" spans="1:8" hidden="1" x14ac:dyDescent="0.25">
      <c r="A41" s="121" t="s">
        <v>0</v>
      </c>
      <c r="B41" s="5"/>
      <c r="C41" s="146"/>
      <c r="D41" s="133"/>
      <c r="E41" s="133"/>
      <c r="F41" s="165"/>
      <c r="G41" s="165"/>
      <c r="H41" s="168"/>
    </row>
    <row r="42" spans="1:8" x14ac:dyDescent="0.25">
      <c r="A42" s="121" t="s">
        <v>42</v>
      </c>
      <c r="B42" s="5">
        <v>185</v>
      </c>
      <c r="C42" s="143"/>
      <c r="D42" s="136" t="s">
        <v>141</v>
      </c>
      <c r="E42" s="157">
        <v>164</v>
      </c>
      <c r="F42" s="157" t="s">
        <v>141</v>
      </c>
      <c r="G42" s="157" t="s">
        <v>141</v>
      </c>
      <c r="H42" s="166" t="s">
        <v>126</v>
      </c>
    </row>
    <row r="43" spans="1:8" ht="13" x14ac:dyDescent="0.3">
      <c r="A43" s="311" t="s">
        <v>22</v>
      </c>
      <c r="B43" s="312"/>
      <c r="C43" s="144"/>
      <c r="D43" s="131"/>
      <c r="E43" s="131"/>
      <c r="F43" s="163"/>
      <c r="G43" s="163"/>
      <c r="H43" s="167"/>
    </row>
    <row r="44" spans="1:8" hidden="1" x14ac:dyDescent="0.25">
      <c r="A44" s="121" t="s">
        <v>0</v>
      </c>
      <c r="B44" s="5"/>
      <c r="C44" s="146"/>
      <c r="D44" s="133"/>
      <c r="E44" s="133"/>
      <c r="F44" s="165"/>
      <c r="G44" s="165"/>
      <c r="H44" s="168"/>
    </row>
    <row r="45" spans="1:8" x14ac:dyDescent="0.25">
      <c r="A45" s="121" t="s">
        <v>42</v>
      </c>
      <c r="B45" s="5">
        <v>0</v>
      </c>
      <c r="C45" s="146"/>
      <c r="D45" s="133"/>
      <c r="E45" s="158">
        <v>204</v>
      </c>
      <c r="F45" s="157" t="s">
        <v>141</v>
      </c>
      <c r="G45" s="157" t="s">
        <v>141</v>
      </c>
      <c r="H45" s="158" t="s">
        <v>126</v>
      </c>
    </row>
    <row r="46" spans="1:8" ht="13" x14ac:dyDescent="0.3">
      <c r="A46" s="311" t="s">
        <v>113</v>
      </c>
      <c r="B46" s="312"/>
      <c r="C46" s="145"/>
      <c r="D46" s="132"/>
      <c r="E46" s="132"/>
      <c r="F46" s="164"/>
      <c r="G46" s="164"/>
      <c r="H46" s="167"/>
    </row>
    <row r="47" spans="1:8" x14ac:dyDescent="0.25">
      <c r="A47" s="121" t="s">
        <v>86</v>
      </c>
      <c r="B47" s="228">
        <v>44642</v>
      </c>
      <c r="C47" s="226"/>
      <c r="D47" s="226">
        <v>3038</v>
      </c>
      <c r="E47" s="156">
        <f>(1024*117)</f>
        <v>119808</v>
      </c>
      <c r="F47" s="156">
        <f>(3494+138)</f>
        <v>3632</v>
      </c>
      <c r="G47" s="156" t="s">
        <v>141</v>
      </c>
      <c r="H47" s="166" t="s">
        <v>126</v>
      </c>
    </row>
    <row r="48" spans="1:8" x14ac:dyDescent="0.25">
      <c r="A48" s="121" t="s">
        <v>87</v>
      </c>
      <c r="B48" s="228">
        <v>1797</v>
      </c>
      <c r="C48" s="226"/>
      <c r="D48" s="226">
        <v>588</v>
      </c>
      <c r="E48" s="156">
        <f>(1024*15)</f>
        <v>15360</v>
      </c>
      <c r="F48" s="156">
        <f>(834+138)</f>
        <v>972</v>
      </c>
      <c r="G48" s="156" t="s">
        <v>141</v>
      </c>
      <c r="H48" s="166" t="s">
        <v>126</v>
      </c>
    </row>
    <row r="49" spans="1:8" x14ac:dyDescent="0.25">
      <c r="A49" s="121" t="s">
        <v>134</v>
      </c>
      <c r="B49" s="228"/>
      <c r="C49" s="228"/>
      <c r="D49" s="228">
        <v>5622</v>
      </c>
      <c r="E49" s="156">
        <f>(1024*166)</f>
        <v>169984</v>
      </c>
      <c r="F49" s="156">
        <f>(1024*10)</f>
        <v>10240</v>
      </c>
      <c r="G49" s="156" t="s">
        <v>141</v>
      </c>
      <c r="H49" s="166" t="s">
        <v>126</v>
      </c>
    </row>
    <row r="50" spans="1:8" x14ac:dyDescent="0.25">
      <c r="A50" s="121" t="s">
        <v>135</v>
      </c>
      <c r="B50" s="228"/>
      <c r="C50" s="228"/>
      <c r="D50" s="228">
        <v>1356</v>
      </c>
      <c r="E50" s="156">
        <f>(1024*18)</f>
        <v>18432</v>
      </c>
      <c r="F50" s="156">
        <v>1174</v>
      </c>
      <c r="G50" s="156" t="s">
        <v>141</v>
      </c>
      <c r="H50" s="166" t="s">
        <v>126</v>
      </c>
    </row>
    <row r="51" spans="1:8" ht="13.5" thickBot="1" x14ac:dyDescent="0.35">
      <c r="A51" s="305" t="s">
        <v>154</v>
      </c>
      <c r="B51" s="306"/>
      <c r="C51" s="133"/>
      <c r="D51" s="133"/>
      <c r="E51" s="305"/>
      <c r="F51" s="306"/>
      <c r="G51" s="306"/>
      <c r="H51" s="167"/>
    </row>
    <row r="52" spans="1:8" x14ac:dyDescent="0.25">
      <c r="A52" s="174" t="s">
        <v>155</v>
      </c>
      <c r="B52" s="173"/>
      <c r="C52" s="173"/>
      <c r="D52" s="173"/>
      <c r="E52" s="173"/>
      <c r="F52" s="173" t="s">
        <v>141</v>
      </c>
      <c r="G52" s="157" t="s">
        <v>141</v>
      </c>
      <c r="H52" s="169"/>
    </row>
    <row r="53" spans="1:8" ht="13" thickBot="1" x14ac:dyDescent="0.3">
      <c r="A53" s="175" t="s">
        <v>156</v>
      </c>
      <c r="B53" s="124"/>
      <c r="C53" s="124"/>
      <c r="D53" s="124"/>
      <c r="E53" s="124">
        <v>10000</v>
      </c>
      <c r="F53" s="124">
        <v>10000</v>
      </c>
      <c r="G53" s="157" t="s">
        <v>141</v>
      </c>
      <c r="H53" s="169" t="s">
        <v>126</v>
      </c>
    </row>
    <row r="54" spans="1:8" ht="13" x14ac:dyDescent="0.3">
      <c r="A54" s="307" t="s">
        <v>59</v>
      </c>
      <c r="B54" s="308"/>
      <c r="C54" s="134"/>
      <c r="D54" s="134"/>
      <c r="E54" s="134"/>
      <c r="F54" s="164"/>
      <c r="G54" s="164"/>
      <c r="H54" s="167"/>
    </row>
    <row r="55" spans="1:8" x14ac:dyDescent="0.25">
      <c r="A55" s="122" t="s">
        <v>60</v>
      </c>
      <c r="B55" s="5">
        <v>1.3</v>
      </c>
      <c r="C55" s="130">
        <v>1.3</v>
      </c>
      <c r="D55" s="130">
        <v>1.3</v>
      </c>
      <c r="E55" s="159">
        <v>1.3</v>
      </c>
      <c r="F55" s="159">
        <v>1.3</v>
      </c>
      <c r="G55" s="159">
        <v>1.3</v>
      </c>
      <c r="H55" s="166"/>
    </row>
    <row r="56" spans="1:8" ht="13" x14ac:dyDescent="0.3">
      <c r="A56" s="307" t="s">
        <v>98</v>
      </c>
      <c r="B56" s="308"/>
      <c r="C56" s="134"/>
      <c r="D56" s="134"/>
      <c r="E56" s="134"/>
      <c r="F56" s="164"/>
      <c r="G56" s="164"/>
      <c r="H56" s="167"/>
    </row>
    <row r="57" spans="1:8" x14ac:dyDescent="0.25">
      <c r="A57" s="123" t="s">
        <v>95</v>
      </c>
      <c r="B57" s="5">
        <v>7</v>
      </c>
      <c r="C57" s="5">
        <v>7</v>
      </c>
      <c r="D57" s="5">
        <v>7</v>
      </c>
      <c r="E57" s="160">
        <v>7</v>
      </c>
      <c r="F57" s="160">
        <v>7</v>
      </c>
      <c r="G57" s="160">
        <v>7</v>
      </c>
      <c r="H57" s="170"/>
    </row>
    <row r="58" spans="1:8" x14ac:dyDescent="0.25">
      <c r="A58" s="123" t="s">
        <v>96</v>
      </c>
      <c r="B58" s="5">
        <v>8</v>
      </c>
      <c r="C58" s="5">
        <v>8</v>
      </c>
      <c r="D58" s="5">
        <v>8</v>
      </c>
      <c r="E58" s="160">
        <v>8</v>
      </c>
      <c r="F58" s="160">
        <v>8</v>
      </c>
      <c r="G58" s="160">
        <v>8</v>
      </c>
      <c r="H58" s="170"/>
    </row>
    <row r="59" spans="1:8" x14ac:dyDescent="0.25">
      <c r="A59" s="218" t="s">
        <v>169</v>
      </c>
      <c r="B59" s="5">
        <v>7</v>
      </c>
      <c r="C59" s="5">
        <v>7</v>
      </c>
      <c r="D59" s="5">
        <v>7</v>
      </c>
      <c r="E59" s="160">
        <v>7</v>
      </c>
      <c r="F59" s="160">
        <v>7</v>
      </c>
      <c r="G59" s="160">
        <v>7</v>
      </c>
      <c r="H59" s="170"/>
    </row>
    <row r="60" spans="1:8" x14ac:dyDescent="0.25">
      <c r="A60" s="218" t="s">
        <v>170</v>
      </c>
      <c r="B60" s="5">
        <v>8</v>
      </c>
      <c r="C60" s="5">
        <v>8</v>
      </c>
      <c r="D60" s="5">
        <v>8</v>
      </c>
      <c r="E60" s="160">
        <v>8</v>
      </c>
      <c r="F60" s="160">
        <v>8</v>
      </c>
      <c r="G60" s="160">
        <v>8</v>
      </c>
      <c r="H60" s="170"/>
    </row>
    <row r="61" spans="1:8" x14ac:dyDescent="0.25">
      <c r="A61" s="123" t="s">
        <v>97</v>
      </c>
      <c r="B61" s="5">
        <v>10</v>
      </c>
      <c r="C61" s="5">
        <v>10</v>
      </c>
      <c r="D61" s="5">
        <v>10</v>
      </c>
      <c r="E61" s="160">
        <v>10</v>
      </c>
      <c r="F61" s="160">
        <v>10</v>
      </c>
      <c r="G61" s="160">
        <v>10</v>
      </c>
      <c r="H61" s="170"/>
    </row>
    <row r="62" spans="1:8" x14ac:dyDescent="0.25">
      <c r="A62" s="123" t="s">
        <v>99</v>
      </c>
      <c r="B62" s="5">
        <v>3</v>
      </c>
      <c r="C62" s="5">
        <v>3</v>
      </c>
      <c r="D62" s="135" t="s">
        <v>141</v>
      </c>
      <c r="E62" s="158" t="s">
        <v>141</v>
      </c>
      <c r="F62" s="158" t="s">
        <v>141</v>
      </c>
      <c r="G62" s="158" t="s">
        <v>141</v>
      </c>
      <c r="H62" s="170"/>
    </row>
    <row r="63" spans="1:8" x14ac:dyDescent="0.25">
      <c r="A63" s="123" t="s">
        <v>100</v>
      </c>
      <c r="B63" s="5">
        <v>15</v>
      </c>
      <c r="C63" s="5">
        <v>15</v>
      </c>
      <c r="D63" s="135" t="s">
        <v>141</v>
      </c>
      <c r="E63" s="158" t="s">
        <v>141</v>
      </c>
      <c r="F63" s="158" t="s">
        <v>141</v>
      </c>
      <c r="G63" s="158" t="s">
        <v>141</v>
      </c>
      <c r="H63" s="170"/>
    </row>
    <row r="64" spans="1:8" x14ac:dyDescent="0.25">
      <c r="A64" s="123" t="s">
        <v>101</v>
      </c>
      <c r="B64" s="5">
        <v>8</v>
      </c>
      <c r="C64" s="5">
        <v>8</v>
      </c>
      <c r="D64" s="135" t="s">
        <v>141</v>
      </c>
      <c r="E64" s="158" t="s">
        <v>141</v>
      </c>
      <c r="F64" s="158" t="s">
        <v>141</v>
      </c>
      <c r="G64" s="158" t="s">
        <v>141</v>
      </c>
      <c r="H64" s="170"/>
    </row>
    <row r="65" spans="1:8" x14ac:dyDescent="0.25">
      <c r="A65" s="123" t="s">
        <v>102</v>
      </c>
      <c r="B65" s="5">
        <v>12</v>
      </c>
      <c r="C65" s="5">
        <v>12</v>
      </c>
      <c r="D65" s="135" t="s">
        <v>141</v>
      </c>
      <c r="E65" s="158" t="s">
        <v>141</v>
      </c>
      <c r="F65" s="158" t="s">
        <v>141</v>
      </c>
      <c r="G65" s="158" t="s">
        <v>141</v>
      </c>
      <c r="H65" s="170"/>
    </row>
    <row r="66" spans="1:8" x14ac:dyDescent="0.25">
      <c r="A66" s="141" t="s">
        <v>103</v>
      </c>
      <c r="B66" s="142">
        <v>10</v>
      </c>
      <c r="C66" s="142">
        <v>10</v>
      </c>
      <c r="D66" s="142">
        <v>10</v>
      </c>
      <c r="E66" s="161">
        <v>10</v>
      </c>
      <c r="F66" s="161">
        <v>10</v>
      </c>
      <c r="G66" s="161">
        <v>10</v>
      </c>
      <c r="H66" s="171"/>
    </row>
    <row r="67" spans="1:8" ht="13" thickBot="1" x14ac:dyDescent="0.3">
      <c r="A67" s="124" t="s">
        <v>147</v>
      </c>
      <c r="B67" s="125"/>
      <c r="C67" s="125"/>
      <c r="D67" s="125">
        <v>14</v>
      </c>
      <c r="E67" s="162">
        <v>14</v>
      </c>
      <c r="F67" s="162">
        <v>14</v>
      </c>
      <c r="G67" s="162">
        <v>14</v>
      </c>
      <c r="H67" s="172"/>
    </row>
    <row r="68" spans="1:8" ht="13" thickBot="1" x14ac:dyDescent="0.3">
      <c r="A68" s="124" t="s">
        <v>267</v>
      </c>
      <c r="B68" s="125"/>
      <c r="C68" s="125"/>
      <c r="D68" s="125">
        <v>14</v>
      </c>
      <c r="E68" s="162">
        <v>1</v>
      </c>
      <c r="F68" s="162" t="s">
        <v>141</v>
      </c>
      <c r="G68" s="162" t="s">
        <v>141</v>
      </c>
      <c r="H68" s="172"/>
    </row>
    <row r="69" spans="1:8" ht="91.5" customHeight="1" x14ac:dyDescent="0.25">
      <c r="A69" s="266" t="s">
        <v>254</v>
      </c>
      <c r="B69" s="266"/>
      <c r="C69" s="127"/>
      <c r="D69" s="127"/>
      <c r="E69" s="140"/>
      <c r="F69" s="140"/>
      <c r="G69" s="154"/>
    </row>
    <row r="75" spans="1:8" x14ac:dyDescent="0.25">
      <c r="E75" s="229"/>
    </row>
  </sheetData>
  <mergeCells count="13">
    <mergeCell ref="E51:G51"/>
    <mergeCell ref="A56:B56"/>
    <mergeCell ref="A69:B69"/>
    <mergeCell ref="A2:A3"/>
    <mergeCell ref="A46:B46"/>
    <mergeCell ref="A54:B54"/>
    <mergeCell ref="A17:B17"/>
    <mergeCell ref="A20:B20"/>
    <mergeCell ref="A40:B40"/>
    <mergeCell ref="A43:B43"/>
    <mergeCell ref="A51:B51"/>
    <mergeCell ref="A33:B33"/>
    <mergeCell ref="A27:B27"/>
  </mergeCells>
  <phoneticPr fontId="3"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87</vt:i4>
      </vt:variant>
    </vt:vector>
  </HeadingPairs>
  <TitlesOfParts>
    <vt:vector size="90" baseType="lpstr">
      <vt:lpstr>Instructions</vt:lpstr>
      <vt:lpstr>Finesse 12.0</vt:lpstr>
      <vt:lpstr>BW Data</vt:lpstr>
      <vt:lpstr>'Finesse 12.0'!Agent_Call_Wrap_Up_Time</vt:lpstr>
      <vt:lpstr>'Finesse 12.0'!Agent_Call_Wrap_Up_Time_v901</vt:lpstr>
      <vt:lpstr>'Finesse 12.0'!Agent_Statistics_Update_Interval_v801</vt:lpstr>
      <vt:lpstr>Agent_Task_Wrap_Up_Time</vt:lpstr>
      <vt:lpstr>'Finesse 12.0'!Average_Call_Duration</vt:lpstr>
      <vt:lpstr>'Finesse 12.0'!Average_Call_Duration_v901</vt:lpstr>
      <vt:lpstr>'Finesse 12.0'!Average_number_of_agents_per_Team</vt:lpstr>
      <vt:lpstr>Average_number_of_agents_per_Team</vt:lpstr>
      <vt:lpstr>'Finesse 12.0'!Average_number_of_Skill_Groups_per_Agent_v901</vt:lpstr>
      <vt:lpstr>'Finesse 12.0'!Average_number_of_Skill_Groups_per_Supervisor</vt:lpstr>
      <vt:lpstr>Average_Task_Duration</vt:lpstr>
      <vt:lpstr>Avg_Agent_State_Changes_Per_Call_NoWrap</vt:lpstr>
      <vt:lpstr>Avg_Agent_State_Changes_Per_Call_NoWrap_v91</vt:lpstr>
      <vt:lpstr>Avg_Agent_State_Changes_Per_Call_Wrap</vt:lpstr>
      <vt:lpstr>Avg_Agent_State_Changes_Per_Call_Wrap_v91</vt:lpstr>
      <vt:lpstr>Avg_Agent_State_Changes_Per_Task_NoWrap</vt:lpstr>
      <vt:lpstr>Avg_agent_state_Changes_Per_Task_Wrap</vt:lpstr>
      <vt:lpstr>Avg_Number_Dialog_Events_Per_ConfCall</vt:lpstr>
      <vt:lpstr>Avg_Number_Dialog_Events_Per_IncomingCall</vt:lpstr>
      <vt:lpstr>Avg_Number_Dialog_Events_Per_OutCall</vt:lpstr>
      <vt:lpstr>Avg_Number_Dialog_Events_Per_XferCall</vt:lpstr>
      <vt:lpstr>Bandwidth_Confidence_Factor</vt:lpstr>
      <vt:lpstr>Bandwidth_Confidence_Factor_v9</vt:lpstr>
      <vt:lpstr>Bandwidth_Confidence_Factor_v91</vt:lpstr>
      <vt:lpstr>'Finesse 12.0'!BHCA</vt:lpstr>
      <vt:lpstr>'Finesse 12.0'!BHCA_v901</vt:lpstr>
      <vt:lpstr>BHTA</vt:lpstr>
      <vt:lpstr>Bytes_Per_Call_Variable_Value</vt:lpstr>
      <vt:lpstr>'Finesse 12.0'!Calls_Per_Second</vt:lpstr>
      <vt:lpstr>'Finesse 12.0'!Calls_Per_Second_v901</vt:lpstr>
      <vt:lpstr>Concurrent_agent_sessions_Per_TPG</vt:lpstr>
      <vt:lpstr>'Finesse 12.0'!Max_Login_Time_All_Agents</vt:lpstr>
      <vt:lpstr>'Finesse 12.0'!Max_Login_Time_All_Users</vt:lpstr>
      <vt:lpstr>'Finesse 12.0'!Maximum_Login_Time_for_all_users</vt:lpstr>
      <vt:lpstr>'Finesse 12.0'!Number_of_Agent_Statistics_v801</vt:lpstr>
      <vt:lpstr>'Finesse 12.0'!Number_of_Agents</vt:lpstr>
      <vt:lpstr>'Finesse 12.0'!Number_of_All_Agents_Monitors_v801</vt:lpstr>
      <vt:lpstr>Number_of_Call_Variables</vt:lpstr>
      <vt:lpstr>Number_of_Call_Variables_v91</vt:lpstr>
      <vt:lpstr>Number_of_Configured_Call_variables</vt:lpstr>
      <vt:lpstr>'Finesse 12.0'!Number_of_Configured_ECC_variables</vt:lpstr>
      <vt:lpstr>'Finesse 12.0'!Number_of_Configured_ECC_variables_v901</vt:lpstr>
      <vt:lpstr>Number_of_mc_agents</vt:lpstr>
      <vt:lpstr>Number_of_Multi_Channel_Agents</vt:lpstr>
      <vt:lpstr>Number_of_Non_Voice_MRDs</vt:lpstr>
      <vt:lpstr>Number_of_nonSSO_agents</vt:lpstr>
      <vt:lpstr>Number_of_nonSSO_supervisors</vt:lpstr>
      <vt:lpstr>Number_of_nonvoice_mrds</vt:lpstr>
      <vt:lpstr>'Finesse 12.0'!Number_of_Skill_Group_Statistics_v801</vt:lpstr>
      <vt:lpstr>'Finesse 12.0'!Number_of_Skill_Groups_per_Agent_v801</vt:lpstr>
      <vt:lpstr>'Finesse 12.0'!Number_of_Skill_Groups_per_Supervisor_v901</vt:lpstr>
      <vt:lpstr>Number_of_Skill_Groups_PG</vt:lpstr>
      <vt:lpstr>Number_of_SSO_agents</vt:lpstr>
      <vt:lpstr>Number_of_SSO_supervisors</vt:lpstr>
      <vt:lpstr>'Finesse 12.0'!Number_of_Supervisors</vt:lpstr>
      <vt:lpstr>Number_of_Supervisors_v10</vt:lpstr>
      <vt:lpstr>'Finesse 12.0'!Number_of_Supervisors_v901</vt:lpstr>
      <vt:lpstr>Number_of_teams_for_supervisor</vt:lpstr>
      <vt:lpstr>'Finesse 12.0'!Percentage_Calls_Silently_Monitored</vt:lpstr>
      <vt:lpstr>Percentage_of_BargedCalls</vt:lpstr>
      <vt:lpstr>'Finesse 12.0'!Percentage_of_Calls_that_are_silently_monitored</vt:lpstr>
      <vt:lpstr>'Finesse 12.0'!Percentage_of_Consultative_Conference_Calls</vt:lpstr>
      <vt:lpstr>'Finesse 12.0'!Percentage_of_Consultative_Conference_Calls_v901</vt:lpstr>
      <vt:lpstr>'Finesse 12.0'!Percentage_of_Consultative_Transfer_Calls</vt:lpstr>
      <vt:lpstr>'Finesse 12.0'!Percentage_of_Consultative_Transfer_Calls_v901</vt:lpstr>
      <vt:lpstr>'Finesse 12.0'!Percentage_of_Incoming_Straight_Calls</vt:lpstr>
      <vt:lpstr>'Finesse 12.0'!Percentage_of_Incoming_Straight_Calls_v901</vt:lpstr>
      <vt:lpstr>Percentage_of_Incoming_Straight_Tasks</vt:lpstr>
      <vt:lpstr>Percentage_of_InterceptedCalls</vt:lpstr>
      <vt:lpstr>Percentage_of_Interrupted_Tasks</vt:lpstr>
      <vt:lpstr>'Finesse 12.0'!Percentage_of_Outgoing_Straight_Calls</vt:lpstr>
      <vt:lpstr>'Finesse 12.0'!Percentage_of_Outgoing_Straight_Calls_v901</vt:lpstr>
      <vt:lpstr>Percentage_of_Paused_and_Resumed_Tasks</vt:lpstr>
      <vt:lpstr>'Finesse 12.0'!Percentage_of_Single_Step_Transfer_Calls_v801</vt:lpstr>
      <vt:lpstr>Percentage_of_SingleStep_Transfer_Calls</vt:lpstr>
      <vt:lpstr>Percentage_of_Transferred_Tasks</vt:lpstr>
      <vt:lpstr>Skill_Group_Refresh_Rate</vt:lpstr>
      <vt:lpstr>Skill_Group_Refresh_Rate_v91</vt:lpstr>
      <vt:lpstr>'Finesse 12.0'!Skill_Group_Update_Interval_v801</vt:lpstr>
      <vt:lpstr>'Finesse 12.0'!Sum_of_all_Call_Variable_Values</vt:lpstr>
      <vt:lpstr>'Finesse 12.0'!Sum_of_all_Call_Variable_Values_v901</vt:lpstr>
      <vt:lpstr>'Finesse 12.0'!Sum_of_all_ECC_Variable_Names</vt:lpstr>
      <vt:lpstr>'Finesse 12.0'!Sum_of_all_ECC_Variable_Names_v901</vt:lpstr>
      <vt:lpstr>'Finesse 12.0'!Sum_of_all_ECC_Variable_Values</vt:lpstr>
      <vt:lpstr>'Finesse 12.0'!Sum_of_all_ECC_Variable_Values_v901</vt:lpstr>
      <vt:lpstr>Tasks_Per_Second</vt:lpstr>
      <vt:lpstr>'Finesse 12.0'!Total</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elalo</dc:creator>
  <cp:lastModifiedBy>prarao3</cp:lastModifiedBy>
  <cp:lastPrinted>2005-06-13T18:47:50Z</cp:lastPrinted>
  <dcterms:created xsi:type="dcterms:W3CDTF">2005-06-07T14:17:23Z</dcterms:created>
  <dcterms:modified xsi:type="dcterms:W3CDTF">2021-06-01T14:14:32Z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